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psalti.ASFA\Desktop\"/>
    </mc:Choice>
  </mc:AlternateContent>
  <bookViews>
    <workbookView xWindow="0" yWindow="0" windowWidth="28800" windowHeight="12105"/>
  </bookViews>
  <sheets>
    <sheet name=" ΓΕΝ.ΔΙΕΥΘΥΝΣΗ ΔΙΟΙΚ.ΥΠΗΡΕΣΙΩΝ " sheetId="6" r:id="rId1"/>
  </sheets>
  <definedNames>
    <definedName name="_xlnm._FilterDatabase" localSheetId="0" hidden="1">' ΓΕΝ.ΔΙΕΥΘΥΝΣΗ ΔΙΟΙΚ.ΥΠΗΡΕΣΙΩΝ '!$A$2:$BO$22</definedName>
    <definedName name="_xlnm.Print_Area" localSheetId="0">' ΓΕΝ.ΔΙΕΥΘΥΝΣΗ ΔΙΟΙΚ.ΥΠΗΡΕΣΙΩΝ '!$A$1:$BN$26</definedName>
  </definedNames>
  <calcPr calcId="162913"/>
</workbook>
</file>

<file path=xl/calcChain.xml><?xml version="1.0" encoding="utf-8"?>
<calcChain xmlns="http://schemas.openxmlformats.org/spreadsheetml/2006/main">
  <c r="BL17" i="6" l="1"/>
  <c r="BM17" i="6" s="1"/>
  <c r="BK17" i="6"/>
  <c r="BJ17" i="6"/>
  <c r="AU17" i="6"/>
  <c r="AV17" i="6" s="1"/>
  <c r="AS17" i="6"/>
  <c r="AQ17" i="6"/>
  <c r="AN17" i="6"/>
  <c r="AL17" i="6"/>
  <c r="AJ17" i="6"/>
  <c r="AG17" i="6"/>
  <c r="AH17" i="6" s="1"/>
  <c r="AD17" i="6"/>
  <c r="AB17" i="6"/>
  <c r="Z17" i="6"/>
  <c r="X17" i="6"/>
  <c r="U17" i="6"/>
  <c r="S17" i="6"/>
  <c r="Q17" i="6"/>
  <c r="O17" i="6"/>
  <c r="M17" i="6"/>
  <c r="K17" i="6"/>
  <c r="K18" i="6"/>
  <c r="M18" i="6"/>
  <c r="O18" i="6"/>
  <c r="Q18" i="6"/>
  <c r="S18" i="6"/>
  <c r="U18" i="6"/>
  <c r="X18" i="6"/>
  <c r="Z18" i="6"/>
  <c r="AB18" i="6"/>
  <c r="AD18" i="6"/>
  <c r="AG18" i="6"/>
  <c r="AH18" i="6" s="1"/>
  <c r="AJ18" i="6"/>
  <c r="AL18" i="6"/>
  <c r="AN18" i="6"/>
  <c r="AQ18" i="6"/>
  <c r="AS18" i="6"/>
  <c r="AU18" i="6"/>
  <c r="AV18" i="6" s="1"/>
  <c r="BJ18" i="6"/>
  <c r="BK18" i="6"/>
  <c r="BL18" i="6"/>
  <c r="BM18" i="6" s="1"/>
  <c r="BC17" i="6" l="1"/>
  <c r="AO17" i="6"/>
  <c r="BD18" i="6"/>
  <c r="BC18" i="6"/>
  <c r="AY18" i="6" s="1"/>
  <c r="V17" i="6"/>
  <c r="AO18" i="6"/>
  <c r="AE18" i="6"/>
  <c r="V18" i="6"/>
  <c r="AE17" i="6"/>
  <c r="BD17" i="6"/>
  <c r="BL10" i="6"/>
  <c r="C18" i="6" l="1"/>
  <c r="AY17" i="6"/>
  <c r="AZ17" i="6" s="1"/>
  <c r="BN17" i="6" s="1"/>
  <c r="F17" i="6" s="1"/>
  <c r="G17" i="6" s="1"/>
  <c r="H17" i="6" s="1"/>
  <c r="C17" i="6"/>
  <c r="AZ18" i="6"/>
  <c r="BN18" i="6" s="1"/>
  <c r="F18" i="6" s="1"/>
  <c r="G18" i="6" s="1"/>
  <c r="H18" i="6" s="1"/>
  <c r="D18" i="6"/>
  <c r="E18" i="6"/>
  <c r="O8" i="6"/>
  <c r="D17" i="6" l="1"/>
  <c r="E17" i="6"/>
  <c r="I17" i="6" s="1"/>
  <c r="I18" i="6"/>
  <c r="BK4" i="6"/>
  <c r="BJ7" i="6" l="1"/>
  <c r="BL6" i="6"/>
  <c r="BM6" i="6" s="1"/>
  <c r="BK6" i="6"/>
  <c r="BJ6" i="6"/>
  <c r="BH6" i="6"/>
  <c r="AU6" i="6"/>
  <c r="AV6" i="6" s="1"/>
  <c r="AQ6" i="6"/>
  <c r="AN6" i="6"/>
  <c r="AL6" i="6"/>
  <c r="AJ6" i="6"/>
  <c r="AG6" i="6"/>
  <c r="AH6" i="6" s="1"/>
  <c r="AD6" i="6"/>
  <c r="AB6" i="6"/>
  <c r="Z6" i="6"/>
  <c r="X6" i="6"/>
  <c r="U6" i="6"/>
  <c r="S6" i="6"/>
  <c r="Q6" i="6"/>
  <c r="O6" i="6"/>
  <c r="M6" i="6"/>
  <c r="K6" i="6"/>
  <c r="BL22" i="6"/>
  <c r="BM22" i="6" s="1"/>
  <c r="BK22" i="6"/>
  <c r="BJ22" i="6"/>
  <c r="AU22" i="6"/>
  <c r="AV22" i="6" s="1"/>
  <c r="AS22" i="6"/>
  <c r="AQ22" i="6"/>
  <c r="AN22" i="6"/>
  <c r="AL22" i="6"/>
  <c r="AJ22" i="6"/>
  <c r="AG22" i="6"/>
  <c r="AH22" i="6" s="1"/>
  <c r="AD22" i="6"/>
  <c r="AB22" i="6"/>
  <c r="Z22" i="6"/>
  <c r="X22" i="6"/>
  <c r="U22" i="6"/>
  <c r="S22" i="6"/>
  <c r="Q22" i="6"/>
  <c r="O22" i="6"/>
  <c r="M22" i="6"/>
  <c r="K22" i="6"/>
  <c r="BL13" i="6"/>
  <c r="BM13" i="6" s="1"/>
  <c r="BK13" i="6"/>
  <c r="BJ13" i="6"/>
  <c r="AU13" i="6"/>
  <c r="AV13" i="6" s="1"/>
  <c r="AS13" i="6"/>
  <c r="AQ13" i="6"/>
  <c r="AN13" i="6"/>
  <c r="AL13" i="6"/>
  <c r="AJ13" i="6"/>
  <c r="AG13" i="6"/>
  <c r="AH13" i="6" s="1"/>
  <c r="AD13" i="6"/>
  <c r="AB13" i="6"/>
  <c r="Z13" i="6"/>
  <c r="X13" i="6"/>
  <c r="U13" i="6"/>
  <c r="S13" i="6"/>
  <c r="Q13" i="6"/>
  <c r="O13" i="6"/>
  <c r="M13" i="6"/>
  <c r="K13" i="6"/>
  <c r="BL5" i="6"/>
  <c r="BM5" i="6" s="1"/>
  <c r="BK5" i="6"/>
  <c r="BJ5" i="6"/>
  <c r="AU5" i="6"/>
  <c r="AV5" i="6" s="1"/>
  <c r="AS5" i="6"/>
  <c r="AQ5" i="6"/>
  <c r="AN5" i="6"/>
  <c r="AL5" i="6"/>
  <c r="AJ5" i="6"/>
  <c r="AG5" i="6"/>
  <c r="AH5" i="6" s="1"/>
  <c r="AD5" i="6"/>
  <c r="AB5" i="6"/>
  <c r="Z5" i="6"/>
  <c r="X5" i="6"/>
  <c r="U5" i="6"/>
  <c r="S5" i="6"/>
  <c r="Q5" i="6"/>
  <c r="O5" i="6"/>
  <c r="M5" i="6"/>
  <c r="K5" i="6"/>
  <c r="BL11" i="6"/>
  <c r="BM11" i="6" s="1"/>
  <c r="BK11" i="6"/>
  <c r="BJ11" i="6"/>
  <c r="AU11" i="6"/>
  <c r="AV11" i="6" s="1"/>
  <c r="AS11" i="6"/>
  <c r="AQ11" i="6"/>
  <c r="AN11" i="6"/>
  <c r="AL11" i="6"/>
  <c r="AJ11" i="6"/>
  <c r="AG11" i="6"/>
  <c r="AH11" i="6" s="1"/>
  <c r="AD11" i="6"/>
  <c r="AB11" i="6"/>
  <c r="Z11" i="6"/>
  <c r="X11" i="6"/>
  <c r="U11" i="6"/>
  <c r="S11" i="6"/>
  <c r="Q11" i="6"/>
  <c r="O11" i="6"/>
  <c r="M11" i="6"/>
  <c r="K11" i="6"/>
  <c r="BL12" i="6"/>
  <c r="BM12" i="6" s="1"/>
  <c r="BK12" i="6"/>
  <c r="BJ12" i="6"/>
  <c r="AU12" i="6"/>
  <c r="AV12" i="6" s="1"/>
  <c r="AS12" i="6"/>
  <c r="AQ12" i="6"/>
  <c r="AN12" i="6"/>
  <c r="AL12" i="6"/>
  <c r="AJ12" i="6"/>
  <c r="AG12" i="6"/>
  <c r="AH12" i="6" s="1"/>
  <c r="AD12" i="6"/>
  <c r="AB12" i="6"/>
  <c r="Z12" i="6"/>
  <c r="X12" i="6"/>
  <c r="U12" i="6"/>
  <c r="S12" i="6"/>
  <c r="Q12" i="6"/>
  <c r="O12" i="6"/>
  <c r="M12" i="6"/>
  <c r="K12" i="6"/>
  <c r="BL16" i="6"/>
  <c r="BM16" i="6" s="1"/>
  <c r="BK16" i="6"/>
  <c r="BJ16" i="6"/>
  <c r="BH16" i="6"/>
  <c r="AU16" i="6"/>
  <c r="AV16" i="6" s="1"/>
  <c r="AQ16" i="6"/>
  <c r="AN16" i="6"/>
  <c r="AL16" i="6"/>
  <c r="AJ16" i="6"/>
  <c r="AG16" i="6"/>
  <c r="AH16" i="6" s="1"/>
  <c r="AD16" i="6"/>
  <c r="AB16" i="6"/>
  <c r="Z16" i="6"/>
  <c r="X16" i="6"/>
  <c r="U16" i="6"/>
  <c r="S16" i="6"/>
  <c r="Q16" i="6"/>
  <c r="O16" i="6"/>
  <c r="M16" i="6"/>
  <c r="K16" i="6"/>
  <c r="BL7" i="6"/>
  <c r="BK7" i="6"/>
  <c r="BH7" i="6"/>
  <c r="AU7" i="6"/>
  <c r="AV7" i="6" s="1"/>
  <c r="AQ7" i="6"/>
  <c r="AN7" i="6"/>
  <c r="AL7" i="6"/>
  <c r="AJ7" i="6"/>
  <c r="AG7" i="6"/>
  <c r="AH7" i="6" s="1"/>
  <c r="AD7" i="6"/>
  <c r="AB7" i="6"/>
  <c r="Z7" i="6"/>
  <c r="X7" i="6"/>
  <c r="U7" i="6"/>
  <c r="S7" i="6"/>
  <c r="Q7" i="6"/>
  <c r="O7" i="6"/>
  <c r="M7" i="6"/>
  <c r="K7" i="6"/>
  <c r="BK10" i="6"/>
  <c r="BJ10" i="6"/>
  <c r="AU10" i="6"/>
  <c r="AV10" i="6" s="1"/>
  <c r="AS10" i="6"/>
  <c r="AQ10" i="6"/>
  <c r="AN10" i="6"/>
  <c r="AL10" i="6"/>
  <c r="AJ10" i="6"/>
  <c r="AG10" i="6"/>
  <c r="AH10" i="6" s="1"/>
  <c r="AD10" i="6"/>
  <c r="AB10" i="6"/>
  <c r="Z10" i="6"/>
  <c r="X10" i="6"/>
  <c r="U10" i="6"/>
  <c r="S10" i="6"/>
  <c r="Q10" i="6"/>
  <c r="O10" i="6"/>
  <c r="M10" i="6"/>
  <c r="K10" i="6"/>
  <c r="BC16" i="6" l="1"/>
  <c r="BD12" i="6"/>
  <c r="AE16" i="6"/>
  <c r="V11" i="6"/>
  <c r="AE11" i="6"/>
  <c r="AE13" i="6"/>
  <c r="AE22" i="6"/>
  <c r="AO22" i="6"/>
  <c r="AO12" i="6"/>
  <c r="BC13" i="6"/>
  <c r="V5" i="6"/>
  <c r="AO5" i="6"/>
  <c r="AR16" i="6"/>
  <c r="AS16" i="6" s="1"/>
  <c r="AO11" i="6"/>
  <c r="AO7" i="6"/>
  <c r="V12" i="6"/>
  <c r="AE6" i="6"/>
  <c r="BC11" i="6"/>
  <c r="BD11" i="6" s="1"/>
  <c r="AO16" i="6"/>
  <c r="AE5" i="6"/>
  <c r="V16" i="6"/>
  <c r="BD22" i="6"/>
  <c r="V22" i="6"/>
  <c r="AO13" i="6"/>
  <c r="V13" i="6"/>
  <c r="AE12" i="6"/>
  <c r="AR6" i="6"/>
  <c r="AS6" i="6" s="1"/>
  <c r="V6" i="6"/>
  <c r="AO6" i="6"/>
  <c r="BC6" i="6"/>
  <c r="BC22" i="6"/>
  <c r="BD6" i="6"/>
  <c r="BD13" i="6"/>
  <c r="BC5" i="6"/>
  <c r="BC12" i="6"/>
  <c r="BD16" i="6"/>
  <c r="AE10" i="6"/>
  <c r="V10" i="6"/>
  <c r="AO10" i="6"/>
  <c r="AE7" i="6"/>
  <c r="V7" i="6"/>
  <c r="BM7" i="6"/>
  <c r="AR7" i="6" s="1"/>
  <c r="AS7" i="6" s="1"/>
  <c r="BC7" i="6"/>
  <c r="BD7" i="6"/>
  <c r="BC10" i="6"/>
  <c r="BD10" i="6" s="1"/>
  <c r="BM10" i="6"/>
  <c r="AY16" i="6" l="1"/>
  <c r="AY12" i="6"/>
  <c r="AZ12" i="6" s="1"/>
  <c r="BN12" i="6" s="1"/>
  <c r="F12" i="6" s="1"/>
  <c r="G12" i="6" s="1"/>
  <c r="H12" i="6" s="1"/>
  <c r="C22" i="6"/>
  <c r="D22" i="6" s="1"/>
  <c r="AY10" i="6"/>
  <c r="AZ10" i="6" s="1"/>
  <c r="BN10" i="6" s="1"/>
  <c r="F10" i="6" s="1"/>
  <c r="G10" i="6" s="1"/>
  <c r="H10" i="6" s="1"/>
  <c r="C16" i="6"/>
  <c r="D16" i="6" s="1"/>
  <c r="C11" i="6"/>
  <c r="E11" i="6" s="1"/>
  <c r="C6" i="6"/>
  <c r="E6" i="6" s="1"/>
  <c r="AY13" i="6"/>
  <c r="AZ13" i="6" s="1"/>
  <c r="BN13" i="6" s="1"/>
  <c r="F13" i="6" s="1"/>
  <c r="G13" i="6" s="1"/>
  <c r="H13" i="6" s="1"/>
  <c r="C12" i="6"/>
  <c r="D12" i="6" s="1"/>
  <c r="C5" i="6"/>
  <c r="E5" i="6" s="1"/>
  <c r="BD5" i="6"/>
  <c r="AY5" i="6" s="1"/>
  <c r="AY11" i="6"/>
  <c r="AZ11" i="6" s="1"/>
  <c r="BN11" i="6" s="1"/>
  <c r="F11" i="6" s="1"/>
  <c r="G11" i="6" s="1"/>
  <c r="H11" i="6" s="1"/>
  <c r="C13" i="6"/>
  <c r="AY22" i="6"/>
  <c r="AZ22" i="6" s="1"/>
  <c r="AY6" i="6"/>
  <c r="AZ6" i="6" s="1"/>
  <c r="AZ16" i="6"/>
  <c r="BN16" i="6" s="1"/>
  <c r="F16" i="6" s="1"/>
  <c r="G16" i="6" s="1"/>
  <c r="H16" i="6" s="1"/>
  <c r="C10" i="6"/>
  <c r="E10" i="6" s="1"/>
  <c r="C7" i="6"/>
  <c r="AY7" i="6"/>
  <c r="AZ7" i="6" s="1"/>
  <c r="E16" i="6" l="1"/>
  <c r="I16" i="6" s="1"/>
  <c r="E22" i="6"/>
  <c r="D11" i="6"/>
  <c r="D5" i="6"/>
  <c r="D6" i="6"/>
  <c r="E12" i="6"/>
  <c r="I12" i="6" s="1"/>
  <c r="D10" i="6"/>
  <c r="I11" i="6"/>
  <c r="BN22" i="6"/>
  <c r="F22" i="6" s="1"/>
  <c r="G22" i="6" s="1"/>
  <c r="H22" i="6" s="1"/>
  <c r="AZ5" i="6"/>
  <c r="BN5" i="6" s="1"/>
  <c r="F5" i="6" s="1"/>
  <c r="G5" i="6" s="1"/>
  <c r="H5" i="6" s="1"/>
  <c r="I5" i="6" s="1"/>
  <c r="E13" i="6"/>
  <c r="I13" i="6" s="1"/>
  <c r="D13" i="6"/>
  <c r="BN6" i="6"/>
  <c r="F6" i="6" s="1"/>
  <c r="G6" i="6" s="1"/>
  <c r="H6" i="6" s="1"/>
  <c r="I6" i="6" s="1"/>
  <c r="D7" i="6"/>
  <c r="E7" i="6"/>
  <c r="BN7" i="6"/>
  <c r="F7" i="6" s="1"/>
  <c r="G7" i="6" s="1"/>
  <c r="H7" i="6" s="1"/>
  <c r="I10" i="6"/>
  <c r="I22" i="6" l="1"/>
  <c r="I7" i="6"/>
  <c r="BJ15" i="6" l="1"/>
  <c r="BJ19" i="6"/>
  <c r="BJ3" i="6"/>
  <c r="BJ23" i="6"/>
  <c r="BJ14" i="6"/>
  <c r="BJ21" i="6"/>
  <c r="BJ8" i="6"/>
  <c r="BJ4" i="6"/>
  <c r="BJ9" i="6"/>
  <c r="BH15" i="6"/>
  <c r="BH19" i="6"/>
  <c r="BH3" i="6"/>
  <c r="BH23" i="6"/>
  <c r="BH14" i="6"/>
  <c r="BH21" i="6"/>
  <c r="BH8" i="6"/>
  <c r="BH4" i="6"/>
  <c r="BH9" i="6"/>
  <c r="K9" i="6"/>
  <c r="M9" i="6"/>
  <c r="O9" i="6"/>
  <c r="Q9" i="6"/>
  <c r="S9" i="6"/>
  <c r="U9" i="6"/>
  <c r="X9" i="6"/>
  <c r="Z9" i="6"/>
  <c r="AB9" i="6"/>
  <c r="AD9" i="6"/>
  <c r="AG9" i="6"/>
  <c r="AH9" i="6" s="1"/>
  <c r="AJ9" i="6"/>
  <c r="AL9" i="6"/>
  <c r="AN9" i="6"/>
  <c r="AQ9" i="6"/>
  <c r="AU9" i="6"/>
  <c r="AV9" i="6" s="1"/>
  <c r="BK9" i="6"/>
  <c r="BL9" i="6"/>
  <c r="BM9" i="6" s="1"/>
  <c r="BD9" i="6" l="1"/>
  <c r="BC9" i="6"/>
  <c r="V9" i="6"/>
  <c r="AO9" i="6"/>
  <c r="AR9" i="6"/>
  <c r="AS9" i="6" s="1"/>
  <c r="AE9" i="6"/>
  <c r="O3" i="6"/>
  <c r="O4" i="6"/>
  <c r="M3" i="6"/>
  <c r="M4" i="6"/>
  <c r="K3" i="6"/>
  <c r="K4" i="6"/>
  <c r="BJ20" i="6"/>
  <c r="AJ20" i="6"/>
  <c r="AY9" i="6" l="1"/>
  <c r="AZ9" i="6" s="1"/>
  <c r="BN9" i="6" s="1"/>
  <c r="F9" i="6" s="1"/>
  <c r="G9" i="6" s="1"/>
  <c r="H9" i="6" s="1"/>
  <c r="C9" i="6"/>
  <c r="E9" i="6" s="1"/>
  <c r="D9" i="6" l="1"/>
  <c r="I9" i="6"/>
  <c r="BL19" i="6"/>
  <c r="BM19" i="6" s="1"/>
  <c r="BK19" i="6"/>
  <c r="AU19" i="6"/>
  <c r="AQ19" i="6"/>
  <c r="AN19" i="6"/>
  <c r="AL19" i="6"/>
  <c r="AJ19" i="6"/>
  <c r="AG19" i="6"/>
  <c r="AH19" i="6" s="1"/>
  <c r="AD19" i="6"/>
  <c r="AB19" i="6"/>
  <c r="Z19" i="6"/>
  <c r="X19" i="6"/>
  <c r="U19" i="6"/>
  <c r="S19" i="6"/>
  <c r="Q19" i="6"/>
  <c r="O19" i="6"/>
  <c r="M19" i="6"/>
  <c r="K19" i="6"/>
  <c r="BL21" i="6"/>
  <c r="BM21" i="6" s="1"/>
  <c r="BK21" i="6"/>
  <c r="AU21" i="6"/>
  <c r="AQ21" i="6"/>
  <c r="AN21" i="6"/>
  <c r="AL21" i="6"/>
  <c r="AJ21" i="6"/>
  <c r="AG21" i="6"/>
  <c r="AH21" i="6" s="1"/>
  <c r="AD21" i="6"/>
  <c r="AB21" i="6"/>
  <c r="Z21" i="6"/>
  <c r="X21" i="6"/>
  <c r="U21" i="6"/>
  <c r="S21" i="6"/>
  <c r="Q21" i="6"/>
  <c r="O21" i="6"/>
  <c r="M21" i="6"/>
  <c r="K21" i="6"/>
  <c r="BL14" i="6"/>
  <c r="BM14" i="6" s="1"/>
  <c r="BK14" i="6"/>
  <c r="AU14" i="6"/>
  <c r="AQ14" i="6"/>
  <c r="AN14" i="6"/>
  <c r="AL14" i="6"/>
  <c r="AJ14" i="6"/>
  <c r="AG14" i="6"/>
  <c r="AH14" i="6" s="1"/>
  <c r="AD14" i="6"/>
  <c r="AB14" i="6"/>
  <c r="Z14" i="6"/>
  <c r="X14" i="6"/>
  <c r="U14" i="6"/>
  <c r="S14" i="6"/>
  <c r="Q14" i="6"/>
  <c r="O14" i="6"/>
  <c r="M14" i="6"/>
  <c r="K14" i="6"/>
  <c r="BL15" i="6"/>
  <c r="BM15" i="6" s="1"/>
  <c r="BK15" i="6"/>
  <c r="AU15" i="6"/>
  <c r="AQ15" i="6"/>
  <c r="AN15" i="6"/>
  <c r="AL15" i="6"/>
  <c r="AJ15" i="6"/>
  <c r="AG15" i="6"/>
  <c r="AH15" i="6" s="1"/>
  <c r="AD15" i="6"/>
  <c r="AB15" i="6"/>
  <c r="Z15" i="6"/>
  <c r="X15" i="6"/>
  <c r="U15" i="6"/>
  <c r="S15" i="6"/>
  <c r="Q15" i="6"/>
  <c r="O15" i="6"/>
  <c r="M15" i="6"/>
  <c r="K15" i="6"/>
  <c r="BH20" i="6"/>
  <c r="BF20" i="6"/>
  <c r="BK20" i="6" s="1"/>
  <c r="AU20" i="6"/>
  <c r="AV20" i="6" s="1"/>
  <c r="AS20" i="6"/>
  <c r="AQ20" i="6"/>
  <c r="AN20" i="6"/>
  <c r="AO20" i="6" s="1"/>
  <c r="AG20" i="6"/>
  <c r="AH20" i="6" s="1"/>
  <c r="AD20" i="6"/>
  <c r="AB20" i="6"/>
  <c r="Z20" i="6"/>
  <c r="X20" i="6"/>
  <c r="U20" i="6"/>
  <c r="S20" i="6"/>
  <c r="Q20" i="6"/>
  <c r="O20" i="6"/>
  <c r="M20" i="6"/>
  <c r="K20" i="6"/>
  <c r="BL8" i="6"/>
  <c r="BM8" i="6" s="1"/>
  <c r="BK8" i="6"/>
  <c r="AU8" i="6"/>
  <c r="AV8" i="6" s="1"/>
  <c r="AQ8" i="6"/>
  <c r="AN8" i="6"/>
  <c r="AL8" i="6"/>
  <c r="AJ8" i="6"/>
  <c r="AG8" i="6"/>
  <c r="AH8" i="6" s="1"/>
  <c r="AD8" i="6"/>
  <c r="AB8" i="6"/>
  <c r="Z8" i="6"/>
  <c r="X8" i="6"/>
  <c r="U8" i="6"/>
  <c r="S8" i="6"/>
  <c r="Q8" i="6"/>
  <c r="M8" i="6"/>
  <c r="K8" i="6"/>
  <c r="BL23" i="6"/>
  <c r="BM23" i="6" s="1"/>
  <c r="BK23" i="6"/>
  <c r="AU23" i="6"/>
  <c r="AV23" i="6" s="1"/>
  <c r="AQ23" i="6"/>
  <c r="AN23" i="6"/>
  <c r="AL23" i="6"/>
  <c r="AJ23" i="6"/>
  <c r="AG23" i="6"/>
  <c r="AH23" i="6" s="1"/>
  <c r="AD23" i="6"/>
  <c r="AB23" i="6"/>
  <c r="Z23" i="6"/>
  <c r="X23" i="6"/>
  <c r="U23" i="6"/>
  <c r="S23" i="6"/>
  <c r="Q23" i="6"/>
  <c r="O23" i="6"/>
  <c r="M23" i="6"/>
  <c r="K23" i="6"/>
  <c r="BC20" i="6" l="1"/>
  <c r="BD20" i="6" s="1"/>
  <c r="AE15" i="6"/>
  <c r="AE20" i="6"/>
  <c r="BL20" i="6"/>
  <c r="BM20" i="6" s="1"/>
  <c r="AO8" i="6"/>
  <c r="AE14" i="6"/>
  <c r="V23" i="6"/>
  <c r="AR21" i="6"/>
  <c r="AS21" i="6" s="1"/>
  <c r="AE23" i="6"/>
  <c r="AO23" i="6"/>
  <c r="V8" i="6"/>
  <c r="AE8" i="6"/>
  <c r="AO15" i="6"/>
  <c r="AO14" i="6"/>
  <c r="AO21" i="6"/>
  <c r="AR23" i="6"/>
  <c r="AS23" i="6" s="1"/>
  <c r="BC19" i="6"/>
  <c r="BD19" i="6" s="1"/>
  <c r="AY19" i="6" s="1"/>
  <c r="AR8" i="6"/>
  <c r="AS8" i="6" s="1"/>
  <c r="AR15" i="6"/>
  <c r="AS15" i="6" s="1"/>
  <c r="AR14" i="6"/>
  <c r="AS14" i="6" s="1"/>
  <c r="AR19" i="6"/>
  <c r="AS19" i="6" s="1"/>
  <c r="AO19" i="6"/>
  <c r="AE21" i="6"/>
  <c r="AE19" i="6"/>
  <c r="V21" i="6"/>
  <c r="V15" i="6"/>
  <c r="V20" i="6"/>
  <c r="V19" i="6"/>
  <c r="V14" i="6"/>
  <c r="BC8" i="6"/>
  <c r="BC23" i="6"/>
  <c r="BD8" i="6"/>
  <c r="AV15" i="6"/>
  <c r="AV14" i="6"/>
  <c r="BD14" i="6"/>
  <c r="AV21" i="6"/>
  <c r="BD21" i="6"/>
  <c r="AV19" i="6"/>
  <c r="BC15" i="6"/>
  <c r="BD23" i="6"/>
  <c r="BC14" i="6"/>
  <c r="BC21" i="6"/>
  <c r="AY20" i="6" l="1"/>
  <c r="AZ20" i="6" s="1"/>
  <c r="BN20" i="6" s="1"/>
  <c r="F20" i="6" s="1"/>
  <c r="G20" i="6" s="1"/>
  <c r="H20" i="6" s="1"/>
  <c r="C20" i="6"/>
  <c r="D20" i="6" s="1"/>
  <c r="AY23" i="6"/>
  <c r="AZ23" i="6" s="1"/>
  <c r="C23" i="6"/>
  <c r="E23" i="6" s="1"/>
  <c r="C8" i="6"/>
  <c r="E8" i="6" s="1"/>
  <c r="C15" i="6"/>
  <c r="D15" i="6" s="1"/>
  <c r="C14" i="6"/>
  <c r="D14" i="6" s="1"/>
  <c r="AY8" i="6"/>
  <c r="AZ8" i="6" s="1"/>
  <c r="BN8" i="6" s="1"/>
  <c r="F8" i="6" s="1"/>
  <c r="G8" i="6" s="1"/>
  <c r="H8" i="6" s="1"/>
  <c r="AY14" i="6"/>
  <c r="AZ14" i="6" s="1"/>
  <c r="BN14" i="6" s="1"/>
  <c r="F14" i="6" s="1"/>
  <c r="G14" i="6" s="1"/>
  <c r="H14" i="6" s="1"/>
  <c r="AY21" i="6"/>
  <c r="AZ21" i="6" s="1"/>
  <c r="AZ19" i="6"/>
  <c r="BN19" i="6" s="1"/>
  <c r="F19" i="6" s="1"/>
  <c r="G19" i="6" s="1"/>
  <c r="H19" i="6" s="1"/>
  <c r="C21" i="6"/>
  <c r="C19" i="6"/>
  <c r="D19" i="6" s="1"/>
  <c r="BD15" i="6"/>
  <c r="AY15" i="6" s="1"/>
  <c r="BN21" i="6" l="1"/>
  <c r="F21" i="6" s="1"/>
  <c r="G21" i="6" s="1"/>
  <c r="H21" i="6" s="1"/>
  <c r="E20" i="6"/>
  <c r="I20" i="6" s="1"/>
  <c r="BN23" i="6"/>
  <c r="F23" i="6" s="1"/>
  <c r="G23" i="6" s="1"/>
  <c r="H23" i="6" s="1"/>
  <c r="I23" i="6" s="1"/>
  <c r="D8" i="6"/>
  <c r="D23" i="6"/>
  <c r="E14" i="6"/>
  <c r="I14" i="6" s="1"/>
  <c r="E15" i="6"/>
  <c r="E19" i="6"/>
  <c r="I19" i="6" s="1"/>
  <c r="I8" i="6"/>
  <c r="AZ15" i="6"/>
  <c r="BN15" i="6" s="1"/>
  <c r="F15" i="6" s="1"/>
  <c r="G15" i="6" s="1"/>
  <c r="H15" i="6" s="1"/>
  <c r="E21" i="6"/>
  <c r="D21" i="6"/>
  <c r="I15" i="6" l="1"/>
  <c r="I21" i="6"/>
  <c r="BL4" i="6" l="1"/>
  <c r="BM4" i="6" s="1"/>
  <c r="AU4" i="6"/>
  <c r="AV4" i="6" s="1"/>
  <c r="AQ4" i="6"/>
  <c r="AN4" i="6"/>
  <c r="AL4" i="6"/>
  <c r="AJ4" i="6"/>
  <c r="AG4" i="6"/>
  <c r="AH4" i="6" s="1"/>
  <c r="AD4" i="6"/>
  <c r="AB4" i="6"/>
  <c r="Z4" i="6"/>
  <c r="X4" i="6"/>
  <c r="U4" i="6"/>
  <c r="S4" i="6"/>
  <c r="Q4" i="6"/>
  <c r="BL3" i="6"/>
  <c r="BM3" i="6" s="1"/>
  <c r="BK3" i="6"/>
  <c r="AU3" i="6"/>
  <c r="AV3" i="6" s="1"/>
  <c r="AQ3" i="6"/>
  <c r="AN3" i="6"/>
  <c r="AL3" i="6"/>
  <c r="AJ3" i="6"/>
  <c r="AG3" i="6"/>
  <c r="AH3" i="6" s="1"/>
  <c r="AD3" i="6"/>
  <c r="AB3" i="6"/>
  <c r="Z3" i="6"/>
  <c r="X3" i="6"/>
  <c r="U3" i="6"/>
  <c r="S3" i="6"/>
  <c r="Q3" i="6"/>
  <c r="BD3" i="6" l="1"/>
  <c r="BC3" i="6"/>
  <c r="AR4" i="6"/>
  <c r="AS4" i="6" s="1"/>
  <c r="AO4" i="6"/>
  <c r="AE3" i="6"/>
  <c r="AO3" i="6"/>
  <c r="AR3" i="6"/>
  <c r="AS3" i="6" s="1"/>
  <c r="V4" i="6"/>
  <c r="V3" i="6"/>
  <c r="AE4" i="6"/>
  <c r="BC4" i="6"/>
  <c r="BD4" i="6" s="1"/>
  <c r="C3" i="6" l="1"/>
  <c r="E3" i="6" s="1"/>
  <c r="C4" i="6"/>
  <c r="D4" i="6" s="1"/>
  <c r="AY3" i="6"/>
  <c r="AZ3" i="6" s="1"/>
  <c r="BN3" i="6" s="1"/>
  <c r="F3" i="6" s="1"/>
  <c r="G3" i="6" s="1"/>
  <c r="H3" i="6" s="1"/>
  <c r="AY4" i="6"/>
  <c r="AZ4" i="6" s="1"/>
  <c r="BN4" i="6" s="1"/>
  <c r="F4" i="6" s="1"/>
  <c r="G4" i="6" s="1"/>
  <c r="H4" i="6" s="1"/>
  <c r="E4" i="6" l="1"/>
  <c r="I4" i="6" s="1"/>
  <c r="D3" i="6"/>
  <c r="I3" i="6"/>
</calcChain>
</file>

<file path=xl/sharedStrings.xml><?xml version="1.0" encoding="utf-8"?>
<sst xmlns="http://schemas.openxmlformats.org/spreadsheetml/2006/main" count="73" uniqueCount="73">
  <si>
    <t>Α/Α</t>
  </si>
  <si>
    <t>ΒΑΘΜΟΛΟΓΙΑ Α΄</t>
  </si>
  <si>
    <t>ΒΑΣΙΚΟΣ ΤΙΤΛΟΣ ΣΠΟΥΔΩΝ Γ'ΒΑΘΜΙΑΣ</t>
  </si>
  <si>
    <t>ΔΕΥΤΕΡΟΣ ΤΙΤΛΟΣ ΣΠΟΥΔΩΝ Γ'ΒΑΘΜΙΑΣ</t>
  </si>
  <si>
    <t>ΣΥΝΑΦΕΣ ΔΙΔΑΚΤΟΡΙΚΟ ΔΙΠΛΩΜΑ</t>
  </si>
  <si>
    <t>ΠΡΩΤΟ ΣΥΝΑΦΕΣ ΠΜΣ</t>
  </si>
  <si>
    <t>ΑΠΟΦΟΙΤΗΣΗ ΑΠΌ ΕΣΔΔΑ</t>
  </si>
  <si>
    <t>ΓΝΩΣΗ ΞΕΝΗΣ ΓΛΩΣΣΑΣ ΑΡΙΣΤΗ</t>
  </si>
  <si>
    <t>ΓΝΩΣΗ ΞΕΝΗΣ ΓΛΩΣΣΑΣ ΠΟΛΎ ΚΑΛΗ</t>
  </si>
  <si>
    <t>ΓΝΩΣΗ ΞΕΝΗΣ ΓΛΩΣΣΑΣ ΚΑΛΗ</t>
  </si>
  <si>
    <t>ΜΑΧ ΑΠΌ ΞΕΝΗ ΓΛΩΣΣΑ</t>
  </si>
  <si>
    <t>ΠΙΣΤΟΠΟΙΗΜΕΝΗ ΕΠΙΜΟΡΦΩΣΗ</t>
  </si>
  <si>
    <t>MAX ΑΠΌ ΕΠΙΜΟΡΦΩΣΗ</t>
  </si>
  <si>
    <t>ΜΑΧ ΠΡΟΫΠΗΡΕΣΙΑ ΣΤΟΝ ΙΔΙΩΤΙΚΟ ΤΟΜΕΑ</t>
  </si>
  <si>
    <t>INTEGRATED MASTER (5ETH)</t>
  </si>
  <si>
    <t>ΛΟΙΠΑ ΠΜΣ</t>
  </si>
  <si>
    <t>ΜΑΧ ΑΠΌ ΠΜΣ</t>
  </si>
  <si>
    <t>ΠΡΩΤΟ ΜΗ ΣΥΝΑΦΕΣ ΠΜΣ</t>
  </si>
  <si>
    <t>ΜΗ ΣΥΝΑΦΕΣ ΔΙΔΑΚΤΟΡΙΚΟ ΔΙΠΛΩΜΑ</t>
  </si>
  <si>
    <t>ΛΟΙΠΑ ΔΙΔΑΚΤΟΡΙΚΑ ΔΙΠΛΩΜΑΤΑ</t>
  </si>
  <si>
    <t>ΜΑΧ ΑΠΌ ΔΙΔΑΚΤΟΡΙΚΑ</t>
  </si>
  <si>
    <t>ΧΡΟΝΟΣ ΥΠΗΡΕΣΙΑΣ (ΜΗΝΕΣ)</t>
  </si>
  <si>
    <t>ΑΝΑΓΝΩΡΙΣΜΕΝΟΣ ΧΡΟΝΟΣ ΣΤΟΝ ΙΔΙΩΤΙΚΟ ΤΟΜΕΑ (ΜΗΝΕΣ)</t>
  </si>
  <si>
    <t>ΜΗΝΕΣ ΜΕ ΚΡΙΣΗ ΣΕ ΤΜΗΜΑ</t>
  </si>
  <si>
    <t>ΜΗΝΕΣ ΜΕ ΑΝΑΠΛΗΡΩΣΗ ΣΕ ΤΜΗΜΑ</t>
  </si>
  <si>
    <t>ΜΗΝΕΣ ΜΕ ΚΡΙΣΗ ΣΕ ΔΙΕΥΘΥΝΣΗ</t>
  </si>
  <si>
    <t>ΜΗΝΕΣ ΜΕ ΑΝΑΠΛΗΡΩΣΗ ΣΕ ΔΙΕΥΘΥΝΣΗ</t>
  </si>
  <si>
    <t>ΜΗΝΕΣ ΜΕ ΚΡΙΣΗ ΣΕ ΓΕΝΙΚΗ ΔΙΕΥΘΥΝΣΗ</t>
  </si>
  <si>
    <t>ΜΗΝΕΣ ΜΕ ΑΝΑΠΛΗΡΩΣΗ ΣΕ ΓΕΝΙΚΗ ΔΙΕΥΘΥΝΣΗ</t>
  </si>
  <si>
    <t>ΜΗΝΕΣ ΜΕ ΚΡΙΣΗ ΩΣ ΥΠΗΡΕΣΙΑΚΟΣ ΓΡΑΜΜΑΤΕΑΣ</t>
  </si>
  <si>
    <t>ΜΗΝΕΣ ΜΕ ΑΝΑΠΛΗΡΩΣΗ ΩΣ ΥΠΗΡΕΣΙΑΚΟΣ ΓΡΑΜΜΑΤΕΑΣ</t>
  </si>
  <si>
    <t>ΤΕΛΙΚΑ ΠΡΟΣΜΕΤΡΟΜΕΝΑ ΜΟΡΙΑ ΥΠΗΡΕΣΙΑΚΟΥ ΓΡΑΜΜΑΤΕΑ</t>
  </si>
  <si>
    <t>ΜΟΡΙΑ ΧΡΟΝΟΥ ΥΠΗΡΕΣΙΑΣ</t>
  </si>
  <si>
    <t>ΜΑΧ ΧΡΟΝΟΣ ΥΠΗΡΕΣΙΑΣ (ΜΗΝΕΣ)</t>
  </si>
  <si>
    <t>ΑΘΡΟΙΣΜΑ ΜΗΝΩΝ ΘΗΤΕΙΩΝ ΣΕ ΘΕΣΕΙΣ ΕΥΘΥΝΗΣ</t>
  </si>
  <si>
    <t>ΠΛΑΦΟΝ ΘΗΤΕΙΩΝ</t>
  </si>
  <si>
    <t>ΜΟΡΙΑ ΘΗΤΕΙΩΝ</t>
  </si>
  <si>
    <t>ΥΠΟΛΟΓΙΣΙΜΟΣ ΧΡΟΝΟΣ ΥΠΗΡΕΣΙΑΣ (ΜΗΝΕΣ) ΜΕ ΑΦΑΙΡΕΣΗ ΘΗΤΕΙΩΝ</t>
  </si>
  <si>
    <t>ΜΟΡΙΟΔΟΤΟΥΜ ΜΗΝΕΣ ΜΕ ΚΡΙΣΗ ΣΕ ΤΜΗΜΑ</t>
  </si>
  <si>
    <t>ΜΟΡΙΟΔΟΤΟΥΜ ΜΗΝΕΣ ΜΕ ΑΝΑΠΛ ΣΕ ΤΜΗΜΑ</t>
  </si>
  <si>
    <t>ΜΟΡΙΟΔΟΤΟΥΜ ΜΗΝΕΣ ΜΕ ΚΡΙΣΗ ΣΕ Δ/ΝΣΗ</t>
  </si>
  <si>
    <t>ΜΟΡΙΟΔΟΤΟΥΜ ΜΗΝΕΣ ΜΕ ΑΝΑΠΛ ΣΕ Δ/ΝΣΗ</t>
  </si>
  <si>
    <t>ΜΟΡΙΟΔΟΤΟΥΜ ΜΗΝΕΣ ΜΕ ΚΡΙΣΗ ΣΕ ΓΕΝ. Δ/ΝΣΗ</t>
  </si>
  <si>
    <t>ΜΟΡΙΟΔΟΤΟΥΜ ΜΗΝΕΣ ΜΕ ΑΝΑΠΛ ΣΕ ΓΕΝ. Δ/ΝΣΗ</t>
  </si>
  <si>
    <t>ΒΑΘΜΟΛΟΓΙΑ Α΄ (max 1.000)</t>
  </si>
  <si>
    <t>33% * A΄</t>
  </si>
  <si>
    <t>ΒΑΘΜΟΛΟΓΙΑ Β΄</t>
  </si>
  <si>
    <t>ΒΑΘΜΟΛΟΓΙΑ Β΄ (max 1.000)</t>
  </si>
  <si>
    <t>33% * B΄</t>
  </si>
  <si>
    <t>ΣΥΝΟΛΙΚΗ ΒΑΘΜΟΛΟΓΙΑ 
Α΄ΚΑΙ Β΄</t>
  </si>
  <si>
    <t>Πίνακας Κατάταξης υποψηφίων για την πλήρωση μιας (1) θέσης ευθύνης επιπέδου
Γενικής Διεύθυνσης Διοικητικών Υπηρεσιών της Ανωτάτης Σχολής Καλών Τεχνών κατά φθίνουσα σειρά, με βάση ττις ομάδες κριτηρίων α’ και β’ της παρ. VII.2 της με αρ.πρωτ. 81287/Ζ2/16.07.2024 (ΑΔΑ: 9ΔΙΡ46ΝΚΠΔ-Δ60) προκήρυξης, κατ’ εφαρμογή των διατάξεων των άρθρων 84-86 του Υπαλληλικού Κώδικα (Ν.3528/2007), όπως ισχύουν</t>
  </si>
  <si>
    <t>ΑΡ.ΠΡΩΤ.ΑΙΤΗΣΗΣ</t>
  </si>
  <si>
    <t>4766/23.08.2024</t>
  </si>
  <si>
    <t>5255/10.09.2024</t>
  </si>
  <si>
    <t>4994/02.09.2024</t>
  </si>
  <si>
    <t>4761/23.08.2024</t>
  </si>
  <si>
    <t>5069/03.09.2024</t>
  </si>
  <si>
    <t>5555/23.09.2024</t>
  </si>
  <si>
    <t>5554/23.09.2024</t>
  </si>
  <si>
    <t>5312/12.09.2024</t>
  </si>
  <si>
    <t>4963/30.08.2024</t>
  </si>
  <si>
    <t>4897/28.08.2024</t>
  </si>
  <si>
    <t>4899/28.08.2024</t>
  </si>
  <si>
    <t>5552/23.09.2024</t>
  </si>
  <si>
    <t>4603/02.08.2024</t>
  </si>
  <si>
    <t>5551/23.09.2024</t>
  </si>
  <si>
    <t>4769/23.08.2024</t>
  </si>
  <si>
    <t>5135/05.09.2024</t>
  </si>
  <si>
    <t>5553/23.09.2024</t>
  </si>
  <si>
    <t>4855/27.08.2024</t>
  </si>
  <si>
    <t>4817/26.08.2024</t>
  </si>
  <si>
    <t>5325/12.09.2024</t>
  </si>
  <si>
    <t>4825/26.08.2024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</si>
</sst>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Red]0.000"/>
  </numFmts>
  <fonts count="7" x14ac:knownFonts="1">
    <font>
      <sz val="11"/>
      <color theme="1"/>
      <name val="Calibri"/>
      <family val="2"/>
      <charset val="161"/>
      <scheme val="minor"/>
    </font>
    <font>
      <sz val="11"/>
      <color rgb="FFFF0000"/>
      <name val="Calibri"/>
      <family val="2"/>
      <charset val="161"/>
      <scheme val="minor"/>
    </font>
    <font>
      <sz val="11"/>
      <name val="Calibri"/>
      <family val="2"/>
      <charset val="161"/>
      <scheme val="minor"/>
    </font>
    <font>
      <b/>
      <sz val="12"/>
      <color theme="1"/>
      <name val="Calibri"/>
      <family val="2"/>
      <charset val="161"/>
      <scheme val="minor"/>
    </font>
    <font>
      <b/>
      <sz val="13"/>
      <color theme="1"/>
      <name val="Calibri"/>
      <family val="2"/>
      <charset val="161"/>
      <scheme val="minor"/>
    </font>
    <font>
      <sz val="13"/>
      <color theme="1"/>
      <name val="Calibri"/>
      <family val="2"/>
      <charset val="161"/>
      <scheme val="minor"/>
    </font>
    <font>
      <sz val="12"/>
      <name val="Calibri"/>
      <family val="2"/>
      <charset val="161"/>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Font="1"/>
    <xf numFmtId="0" fontId="0" fillId="2" borderId="1" xfId="0" applyFont="1" applyFill="1" applyBorder="1"/>
    <xf numFmtId="0" fontId="0" fillId="2" borderId="0" xfId="0" applyFont="1" applyFill="1"/>
    <xf numFmtId="0" fontId="0" fillId="0" borderId="0" xfId="0" applyFont="1" applyFill="1"/>
    <xf numFmtId="0" fontId="0" fillId="3" borderId="0" xfId="0" applyFont="1" applyFill="1"/>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1" xfId="0" applyFont="1" applyFill="1" applyBorder="1" applyAlignment="1">
      <alignment horizontal="center" wrapText="1"/>
    </xf>
    <xf numFmtId="0" fontId="6" fillId="0" borderId="1" xfId="0" applyFont="1" applyFill="1" applyBorder="1"/>
    <xf numFmtId="0" fontId="2" fillId="0" borderId="0" xfId="0" applyFont="1" applyFill="1"/>
    <xf numFmtId="4" fontId="6" fillId="0" borderId="1" xfId="0" applyNumberFormat="1" applyFont="1" applyFill="1" applyBorder="1"/>
    <xf numFmtId="0" fontId="2" fillId="0" borderId="1" xfId="0" applyFont="1" applyFill="1" applyBorder="1"/>
    <xf numFmtId="2" fontId="6" fillId="0" borderId="1" xfId="0" applyNumberFormat="1" applyFont="1" applyFill="1" applyBorder="1"/>
    <xf numFmtId="0" fontId="2" fillId="0" borderId="2" xfId="0" applyFont="1" applyFill="1" applyBorder="1"/>
    <xf numFmtId="0" fontId="1" fillId="0" borderId="0" xfId="0" applyFont="1" applyFill="1"/>
    <xf numFmtId="0" fontId="0" fillId="0" borderId="0" xfId="0" applyFont="1" applyFill="1" applyAlignment="1">
      <alignment horizontal="center"/>
    </xf>
    <xf numFmtId="0" fontId="0" fillId="0" borderId="0" xfId="0" applyFont="1" applyAlignment="1">
      <alignment horizontal="center"/>
    </xf>
    <xf numFmtId="4" fontId="6" fillId="5" borderId="1" xfId="0" applyNumberFormat="1" applyFont="1" applyFill="1" applyBorder="1" applyAlignment="1">
      <alignment horizontal="center"/>
    </xf>
    <xf numFmtId="2" fontId="6" fillId="5" borderId="1" xfId="0" applyNumberFormat="1" applyFont="1" applyFill="1" applyBorder="1" applyAlignment="1">
      <alignment horizontal="center"/>
    </xf>
    <xf numFmtId="0" fontId="6" fillId="0" borderId="3" xfId="0" applyFont="1" applyFill="1" applyBorder="1" applyAlignment="1">
      <alignment horizontal="center"/>
    </xf>
    <xf numFmtId="4" fontId="6" fillId="0" borderId="2" xfId="0" applyNumberFormat="1" applyFont="1" applyFill="1" applyBorder="1"/>
    <xf numFmtId="0" fontId="3" fillId="2" borderId="5" xfId="0" applyFont="1" applyFill="1" applyBorder="1" applyAlignment="1">
      <alignment horizontal="center" vertical="center"/>
    </xf>
    <xf numFmtId="0" fontId="3" fillId="5" borderId="1" xfId="0" applyFont="1" applyFill="1" applyBorder="1" applyAlignment="1">
      <alignment horizontal="center"/>
    </xf>
    <xf numFmtId="0" fontId="3" fillId="5"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6"/>
  <sheetViews>
    <sheetView tabSelected="1" zoomScaleNormal="100" workbookViewId="0">
      <selection activeCell="V3" sqref="V3"/>
    </sheetView>
  </sheetViews>
  <sheetFormatPr defaultColWidth="9.140625" defaultRowHeight="15" x14ac:dyDescent="0.25"/>
  <cols>
    <col min="1" max="1" width="4.85546875" style="1" customWidth="1"/>
    <col min="2" max="2" width="30.28515625" style="24" bestFit="1" customWidth="1"/>
    <col min="3" max="3" width="14.28515625" style="1" bestFit="1" customWidth="1"/>
    <col min="4" max="4" width="11.28515625" style="1" customWidth="1"/>
    <col min="5" max="5" width="7.5703125" style="1" customWidth="1"/>
    <col min="6" max="6" width="11.7109375" style="1" customWidth="1"/>
    <col min="7" max="7" width="11.5703125" style="1" customWidth="1"/>
    <col min="8" max="8" width="8.85546875" style="1" customWidth="1"/>
    <col min="9" max="9" width="15" style="1" customWidth="1"/>
    <col min="10" max="10" width="8" style="5" customWidth="1"/>
    <col min="11" max="11" width="10.42578125" style="1" customWidth="1"/>
    <col min="12" max="12" width="8" style="5" customWidth="1"/>
    <col min="13" max="13" width="8" style="1" customWidth="1"/>
    <col min="14" max="14" width="8" style="5" customWidth="1"/>
    <col min="15" max="15" width="8" style="1" customWidth="1"/>
    <col min="16" max="16" width="8" style="5" customWidth="1"/>
    <col min="17" max="17" width="8" style="1" customWidth="1"/>
    <col min="18" max="18" width="8" style="5" customWidth="1"/>
    <col min="19" max="19" width="8" style="1" customWidth="1"/>
    <col min="20" max="20" width="8" style="5" customWidth="1"/>
    <col min="21" max="21" width="8" style="1" customWidth="1"/>
    <col min="22" max="22" width="18.5703125" style="1" bestFit="1" customWidth="1"/>
    <col min="23" max="23" width="8.140625" style="5" customWidth="1"/>
    <col min="24" max="24" width="8.140625" style="1" customWidth="1"/>
    <col min="25" max="25" width="8.140625" style="5" customWidth="1"/>
    <col min="26" max="26" width="8.140625" style="1" customWidth="1"/>
    <col min="27" max="27" width="8.140625" style="5" customWidth="1"/>
    <col min="28" max="28" width="8.140625" style="1" customWidth="1"/>
    <col min="29" max="29" width="8.140625" style="5" customWidth="1"/>
    <col min="30" max="30" width="8.140625" style="1" customWidth="1"/>
    <col min="31" max="31" width="18.42578125" style="1" bestFit="1" customWidth="1"/>
    <col min="32" max="32" width="6" style="5" customWidth="1"/>
    <col min="33" max="33" width="9" style="1" customWidth="1"/>
    <col min="34" max="34" width="18.140625" style="1" bestFit="1" customWidth="1"/>
    <col min="35" max="35" width="5.28515625" style="5" customWidth="1"/>
    <col min="36" max="36" width="5.28515625" style="1" customWidth="1"/>
    <col min="37" max="37" width="5.28515625" style="5" customWidth="1"/>
    <col min="38" max="38" width="5.28515625" style="1" customWidth="1"/>
    <col min="39" max="39" width="5.28515625" style="5" customWidth="1"/>
    <col min="40" max="40" width="5.28515625" style="1" customWidth="1"/>
    <col min="41" max="41" width="19.5703125" style="1" bestFit="1" customWidth="1"/>
    <col min="42" max="42" width="15.5703125" style="5" bestFit="1" customWidth="1"/>
    <col min="43" max="43" width="17.5703125" style="1" bestFit="1" customWidth="1"/>
    <col min="44" max="44" width="27.5703125" style="1" bestFit="1" customWidth="1"/>
    <col min="45" max="45" width="19.85546875" style="1" bestFit="1" customWidth="1"/>
    <col min="46" max="46" width="3.28515625" style="5" bestFit="1" customWidth="1"/>
    <col min="47" max="47" width="3.28515625" style="1" bestFit="1" customWidth="1"/>
    <col min="48" max="48" width="28.5703125" style="1" bestFit="1" customWidth="1"/>
    <col min="49" max="49" width="15.140625" style="5" bestFit="1" customWidth="1"/>
    <col min="50" max="50" width="20.85546875" style="5" bestFit="1" customWidth="1"/>
    <col min="51" max="52" width="30.28515625" style="4" bestFit="1" customWidth="1"/>
    <col min="53" max="53" width="16" style="5" bestFit="1" customWidth="1"/>
    <col min="54" max="54" width="20.85546875" style="5" bestFit="1" customWidth="1"/>
    <col min="55" max="56" width="30.28515625" style="4" bestFit="1" customWidth="1"/>
    <col min="57" max="57" width="16" style="5" bestFit="1" customWidth="1"/>
    <col min="58" max="58" width="23.28515625" style="5" bestFit="1" customWidth="1"/>
    <col min="59" max="59" width="24" style="1" bestFit="1" customWidth="1"/>
    <col min="60" max="60" width="21.140625" style="1" bestFit="1" customWidth="1"/>
    <col min="61" max="61" width="29.5703125" style="1" bestFit="1" customWidth="1"/>
    <col min="62" max="63" width="30.28515625" style="1" bestFit="1" customWidth="1"/>
    <col min="64" max="64" width="23.5703125" style="1" bestFit="1" customWidth="1"/>
    <col min="65" max="65" width="14" style="1" bestFit="1" customWidth="1"/>
    <col min="66" max="66" width="20.5703125" style="1" bestFit="1" customWidth="1"/>
    <col min="67" max="67" width="17.7109375" style="1" customWidth="1"/>
    <col min="68" max="16384" width="9.140625" style="1"/>
  </cols>
  <sheetData>
    <row r="1" spans="1:67" ht="99" customHeight="1" x14ac:dyDescent="0.25">
      <c r="A1" s="36" t="s">
        <v>50</v>
      </c>
      <c r="B1" s="37"/>
      <c r="C1" s="37"/>
      <c r="D1" s="37"/>
      <c r="E1" s="37"/>
      <c r="F1" s="37"/>
      <c r="G1" s="37"/>
      <c r="H1" s="37"/>
      <c r="I1" s="3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7" s="3" customFormat="1" ht="82.5" customHeight="1" x14ac:dyDescent="0.25">
      <c r="A2" s="7" t="s">
        <v>0</v>
      </c>
      <c r="B2" s="29" t="s">
        <v>51</v>
      </c>
      <c r="C2" s="8" t="s">
        <v>1</v>
      </c>
      <c r="D2" s="8" t="s">
        <v>44</v>
      </c>
      <c r="E2" s="8" t="s">
        <v>45</v>
      </c>
      <c r="F2" s="8" t="s">
        <v>46</v>
      </c>
      <c r="G2" s="8" t="s">
        <v>47</v>
      </c>
      <c r="H2" s="9" t="s">
        <v>48</v>
      </c>
      <c r="I2" s="10" t="s">
        <v>49</v>
      </c>
      <c r="J2" s="34" t="s">
        <v>2</v>
      </c>
      <c r="K2" s="35"/>
      <c r="L2" s="34" t="s">
        <v>3</v>
      </c>
      <c r="M2" s="35"/>
      <c r="N2" s="34" t="s">
        <v>5</v>
      </c>
      <c r="O2" s="35"/>
      <c r="P2" s="34" t="s">
        <v>17</v>
      </c>
      <c r="Q2" s="35"/>
      <c r="R2" s="34" t="s">
        <v>14</v>
      </c>
      <c r="S2" s="35"/>
      <c r="T2" s="34" t="s">
        <v>15</v>
      </c>
      <c r="U2" s="35"/>
      <c r="V2" s="11" t="s">
        <v>16</v>
      </c>
      <c r="W2" s="34" t="s">
        <v>6</v>
      </c>
      <c r="X2" s="35"/>
      <c r="Y2" s="34" t="s">
        <v>4</v>
      </c>
      <c r="Z2" s="35"/>
      <c r="AA2" s="34" t="s">
        <v>18</v>
      </c>
      <c r="AB2" s="35"/>
      <c r="AC2" s="34" t="s">
        <v>19</v>
      </c>
      <c r="AD2" s="35"/>
      <c r="AE2" s="11" t="s">
        <v>20</v>
      </c>
      <c r="AF2" s="32" t="s">
        <v>11</v>
      </c>
      <c r="AG2" s="33"/>
      <c r="AH2" s="8" t="s">
        <v>12</v>
      </c>
      <c r="AI2" s="32" t="s">
        <v>7</v>
      </c>
      <c r="AJ2" s="33"/>
      <c r="AK2" s="32" t="s">
        <v>8</v>
      </c>
      <c r="AL2" s="33"/>
      <c r="AM2" s="32" t="s">
        <v>9</v>
      </c>
      <c r="AN2" s="33"/>
      <c r="AO2" s="8" t="s">
        <v>10</v>
      </c>
      <c r="AP2" s="12" t="s">
        <v>21</v>
      </c>
      <c r="AQ2" s="8" t="s">
        <v>33</v>
      </c>
      <c r="AR2" s="8" t="s">
        <v>37</v>
      </c>
      <c r="AS2" s="13" t="s">
        <v>32</v>
      </c>
      <c r="AT2" s="34" t="s">
        <v>22</v>
      </c>
      <c r="AU2" s="35"/>
      <c r="AV2" s="11" t="s">
        <v>13</v>
      </c>
      <c r="AW2" s="14" t="s">
        <v>23</v>
      </c>
      <c r="AX2" s="14" t="s">
        <v>24</v>
      </c>
      <c r="AY2" s="15" t="s">
        <v>38</v>
      </c>
      <c r="AZ2" s="15" t="s">
        <v>39</v>
      </c>
      <c r="BA2" s="14" t="s">
        <v>25</v>
      </c>
      <c r="BB2" s="14" t="s">
        <v>26</v>
      </c>
      <c r="BC2" s="15" t="s">
        <v>40</v>
      </c>
      <c r="BD2" s="15" t="s">
        <v>41</v>
      </c>
      <c r="BE2" s="14" t="s">
        <v>27</v>
      </c>
      <c r="BF2" s="14" t="s">
        <v>28</v>
      </c>
      <c r="BG2" s="15" t="s">
        <v>29</v>
      </c>
      <c r="BH2" s="15" t="s">
        <v>30</v>
      </c>
      <c r="BI2" s="15" t="s">
        <v>31</v>
      </c>
      <c r="BJ2" s="15" t="s">
        <v>42</v>
      </c>
      <c r="BK2" s="15" t="s">
        <v>43</v>
      </c>
      <c r="BL2" s="15" t="s">
        <v>34</v>
      </c>
      <c r="BM2" s="15" t="s">
        <v>35</v>
      </c>
      <c r="BN2" s="15" t="s">
        <v>36</v>
      </c>
      <c r="BO2" s="2"/>
    </row>
    <row r="3" spans="1:67" s="17" customFormat="1" ht="15.75" x14ac:dyDescent="0.25">
      <c r="A3" s="27">
        <v>1</v>
      </c>
      <c r="B3" s="30" t="s">
        <v>52</v>
      </c>
      <c r="C3" s="28">
        <f>IF((K3+M3+V3+X3+AE3+AH3+AO3)&gt;1000,1000,K3+M3+V3+X3+AE3+AH3+AO3)</f>
        <v>785</v>
      </c>
      <c r="D3" s="18">
        <f>IF(C3&gt;1000,1000,C3)</f>
        <v>785</v>
      </c>
      <c r="E3" s="18">
        <f>C3*33%</f>
        <v>259.05</v>
      </c>
      <c r="F3" s="18">
        <f>AS3+AU3+BN3</f>
        <v>761</v>
      </c>
      <c r="G3" s="18">
        <f>IF(F3&gt;1000,1000,F3)</f>
        <v>761</v>
      </c>
      <c r="H3" s="18">
        <f>G3*33%</f>
        <v>251.13000000000002</v>
      </c>
      <c r="I3" s="25">
        <f>E3+H3</f>
        <v>510.18000000000006</v>
      </c>
      <c r="J3" s="16">
        <v>1</v>
      </c>
      <c r="K3" s="16">
        <f>J3*100</f>
        <v>100</v>
      </c>
      <c r="L3" s="16">
        <v>1</v>
      </c>
      <c r="M3" s="16">
        <f>L3*30</f>
        <v>30</v>
      </c>
      <c r="N3" s="16"/>
      <c r="O3" s="16">
        <f t="shared" ref="O3:O5" si="0">N3*200</f>
        <v>0</v>
      </c>
      <c r="P3" s="16">
        <v>1</v>
      </c>
      <c r="Q3" s="16">
        <f>P3*70</f>
        <v>70</v>
      </c>
      <c r="R3" s="16"/>
      <c r="S3" s="16">
        <f>R3*150</f>
        <v>0</v>
      </c>
      <c r="T3" s="16">
        <v>1</v>
      </c>
      <c r="U3" s="16">
        <f>IF(T3&gt;0,50,T3)</f>
        <v>50</v>
      </c>
      <c r="V3" s="16">
        <f>IF((O3+Q3+S3+U3)&gt;250,250,O3+Q3+S3+U3)</f>
        <v>120</v>
      </c>
      <c r="W3" s="16">
        <v>1</v>
      </c>
      <c r="X3" s="16">
        <f>W3*275</f>
        <v>275</v>
      </c>
      <c r="Y3" s="16"/>
      <c r="Z3" s="16">
        <f>Y3*350</f>
        <v>0</v>
      </c>
      <c r="AA3" s="16">
        <v>1</v>
      </c>
      <c r="AB3" s="16">
        <f>AA3*100</f>
        <v>100</v>
      </c>
      <c r="AC3" s="16">
        <v>1</v>
      </c>
      <c r="AD3" s="16">
        <f>IF(AC3&gt;0,70,AC3)</f>
        <v>70</v>
      </c>
      <c r="AE3" s="16">
        <f>IF((Z3+AB3+AD3)&gt;420,420,Z3+AB3+AD3)</f>
        <v>170</v>
      </c>
      <c r="AF3" s="16">
        <v>2</v>
      </c>
      <c r="AG3" s="16">
        <f>AF3*5</f>
        <v>10</v>
      </c>
      <c r="AH3" s="16">
        <f>IF(AG3&gt;20,20,AG3)</f>
        <v>10</v>
      </c>
      <c r="AI3" s="16">
        <v>1</v>
      </c>
      <c r="AJ3" s="16">
        <f>AI3*50</f>
        <v>50</v>
      </c>
      <c r="AK3" s="16">
        <v>1</v>
      </c>
      <c r="AL3" s="16">
        <f>AK3*30</f>
        <v>30</v>
      </c>
      <c r="AM3" s="16"/>
      <c r="AN3" s="16">
        <f>AM3*10</f>
        <v>0</v>
      </c>
      <c r="AO3" s="16">
        <f>IF((AJ3+AL3+AN3)&gt;100,100,AJ3+AL3+AN3)</f>
        <v>80</v>
      </c>
      <c r="AP3" s="16">
        <v>270</v>
      </c>
      <c r="AQ3" s="16">
        <f>IF(AP3&gt;396,396,AP3)</f>
        <v>270</v>
      </c>
      <c r="AR3" s="16">
        <f>AQ3-BM3</f>
        <v>150</v>
      </c>
      <c r="AS3" s="16">
        <f>AR3*1.5</f>
        <v>225</v>
      </c>
      <c r="AT3" s="16"/>
      <c r="AU3" s="16">
        <f>AT3*1</f>
        <v>0</v>
      </c>
      <c r="AV3" s="16">
        <f>IF(AU3&gt;84,84,AU3)</f>
        <v>0</v>
      </c>
      <c r="AW3" s="16">
        <v>50</v>
      </c>
      <c r="AX3" s="16"/>
      <c r="AY3" s="16">
        <f>IF(BJ3+BK3+BC3+BD3+AW3&lt;120,AW3,120-BJ3-BK3-BC3-BD3)</f>
        <v>16</v>
      </c>
      <c r="AZ3" s="16">
        <f>IF(BJ3+BK3+BC3+BD3+AY3+AX3&lt;120,AX3,120-BJ3-BK3-BC3-BD3-AY3)</f>
        <v>0</v>
      </c>
      <c r="BA3" s="16">
        <v>56</v>
      </c>
      <c r="BB3" s="16"/>
      <c r="BC3" s="16">
        <f>IF(BJ3+BK3+BA3&lt;120,BA3,120-BJ3-BK3)</f>
        <v>56</v>
      </c>
      <c r="BD3" s="16">
        <f>IF(BJ3+BK3+BA3+BB3&lt;120,BB3,120-BJ3-BK3-BC3)</f>
        <v>0</v>
      </c>
      <c r="BE3" s="16">
        <v>48</v>
      </c>
      <c r="BF3" s="16"/>
      <c r="BG3" s="16"/>
      <c r="BH3" s="16">
        <f>IF(BG3&gt;84,84,BG3)</f>
        <v>0</v>
      </c>
      <c r="BI3" s="16"/>
      <c r="BJ3" s="16">
        <f>IF(BE3&lt;120,BE3,120)</f>
        <v>48</v>
      </c>
      <c r="BK3" s="16">
        <f>IF(BE3+BF3&lt;120,BF3,120-BE3-BF3)</f>
        <v>0</v>
      </c>
      <c r="BL3" s="16">
        <f>AW3+AX3+BA3+BB3+BE3+BF3</f>
        <v>154</v>
      </c>
      <c r="BM3" s="16">
        <f>IF(BL3&gt;120,120,BL3)</f>
        <v>120</v>
      </c>
      <c r="BN3" s="16">
        <f>IF(AX3+BB3+BF3&lt;BL3/2,(BJ3+BK3)*5.5+(BC3+BD3)*4+(AY3+AZ3)*3,BJ3*5.5+BK3*5.5*0.85+BC3*4+BD3*4*0.85+AY3*3+AZ3*3*0.85)</f>
        <v>536</v>
      </c>
      <c r="BO3" s="19"/>
    </row>
    <row r="4" spans="1:67" s="17" customFormat="1" ht="15.75" x14ac:dyDescent="0.25">
      <c r="A4" s="27">
        <v>2</v>
      </c>
      <c r="B4" s="31" t="s">
        <v>53</v>
      </c>
      <c r="C4" s="28">
        <f>IF((K4+M4+V4+X4+AE4+AH4+AO4)&gt;1000,1000,K4+M4+V4+X4+AE4+AH4+AO4)</f>
        <v>530</v>
      </c>
      <c r="D4" s="18">
        <f>IF(C4&gt;1000,1000,C4)</f>
        <v>530</v>
      </c>
      <c r="E4" s="18">
        <f>C4*33%</f>
        <v>174.9</v>
      </c>
      <c r="F4" s="18">
        <f>AS4+AU4+BN4</f>
        <v>1035</v>
      </c>
      <c r="G4" s="18">
        <f>IF(F4&gt;1000,1000,F4)</f>
        <v>1000</v>
      </c>
      <c r="H4" s="18">
        <f>G4*33%</f>
        <v>330</v>
      </c>
      <c r="I4" s="25">
        <f>E4+H4</f>
        <v>504.9</v>
      </c>
      <c r="J4" s="16">
        <v>1</v>
      </c>
      <c r="K4" s="16">
        <f>J4*100</f>
        <v>100</v>
      </c>
      <c r="L4" s="16">
        <v>1</v>
      </c>
      <c r="M4" s="16">
        <f>L4*30</f>
        <v>30</v>
      </c>
      <c r="N4" s="16"/>
      <c r="O4" s="16">
        <f t="shared" si="0"/>
        <v>0</v>
      </c>
      <c r="P4" s="16">
        <v>1</v>
      </c>
      <c r="Q4" s="16">
        <f>P4*70</f>
        <v>70</v>
      </c>
      <c r="R4" s="16"/>
      <c r="S4" s="16">
        <f>R4*150</f>
        <v>0</v>
      </c>
      <c r="T4" s="16"/>
      <c r="U4" s="16">
        <f>IF(T4&gt;0,50,T4)</f>
        <v>0</v>
      </c>
      <c r="V4" s="16">
        <f>IF((O4+Q4+S4+U4)&gt;250,250,O4+Q4+S4+U4)</f>
        <v>70</v>
      </c>
      <c r="W4" s="16">
        <v>1</v>
      </c>
      <c r="X4" s="16">
        <f>W4*275</f>
        <v>275</v>
      </c>
      <c r="Y4" s="16"/>
      <c r="Z4" s="16">
        <f>Y4*350</f>
        <v>0</v>
      </c>
      <c r="AA4" s="16"/>
      <c r="AB4" s="16">
        <f>AA4*100</f>
        <v>0</v>
      </c>
      <c r="AC4" s="16"/>
      <c r="AD4" s="16">
        <f>IF(AC4&gt;0,70,AC4)</f>
        <v>0</v>
      </c>
      <c r="AE4" s="16">
        <f>IF((Z4+AB4+AD4)&gt;420,420,Z4+AB4+AD4)</f>
        <v>0</v>
      </c>
      <c r="AF4" s="16">
        <v>1</v>
      </c>
      <c r="AG4" s="16">
        <f>AF4*5</f>
        <v>5</v>
      </c>
      <c r="AH4" s="16">
        <f>IF(AG4&gt;20,20,AG4)</f>
        <v>5</v>
      </c>
      <c r="AI4" s="16">
        <v>1</v>
      </c>
      <c r="AJ4" s="16">
        <f>AI4*50</f>
        <v>50</v>
      </c>
      <c r="AK4" s="16"/>
      <c r="AL4" s="16">
        <f>AK4*30</f>
        <v>0</v>
      </c>
      <c r="AM4" s="16"/>
      <c r="AN4" s="16">
        <f>AM4*10</f>
        <v>0</v>
      </c>
      <c r="AO4" s="16">
        <f>IF((AJ4+AL4+AN4)&gt;100,100,AJ4+AL4+AN4)</f>
        <v>50</v>
      </c>
      <c r="AP4" s="16">
        <v>375</v>
      </c>
      <c r="AQ4" s="16">
        <f>IF(AP4&gt;396,396,AP4)</f>
        <v>375</v>
      </c>
      <c r="AR4" s="16">
        <f>AQ4-BM4</f>
        <v>255</v>
      </c>
      <c r="AS4" s="16">
        <f>AR4*1.5</f>
        <v>382.5</v>
      </c>
      <c r="AT4" s="16"/>
      <c r="AU4" s="16">
        <f>AT4*1</f>
        <v>0</v>
      </c>
      <c r="AV4" s="16">
        <f>IF(AU4&gt;84,84,AU4)</f>
        <v>0</v>
      </c>
      <c r="AW4" s="16"/>
      <c r="AX4" s="16">
        <v>73</v>
      </c>
      <c r="AY4" s="16">
        <f>IF(BJ4+BK4+BC4+BD4+AW4&lt;120,AW4,120-BJ4-BK4-BC4-BD4)</f>
        <v>0</v>
      </c>
      <c r="AZ4" s="16">
        <f>IF(BJ4+BK4+BC4+BD4+AY4+AX4&lt;120,AX4,120-BJ4-BK4-BC4-BD4-AY4)</f>
        <v>0</v>
      </c>
      <c r="BA4" s="16">
        <v>40</v>
      </c>
      <c r="BB4" s="16"/>
      <c r="BC4" s="16">
        <f>IF(BJ4+BK4+BA4&lt;120,BA4,120-BJ4-BK4)</f>
        <v>5</v>
      </c>
      <c r="BD4" s="16">
        <f>IF(BJ4+BK4+BA4+BB4&lt;120,BB4,120-BJ4-BK4-BC4)</f>
        <v>0</v>
      </c>
      <c r="BE4" s="16">
        <v>115</v>
      </c>
      <c r="BF4" s="16"/>
      <c r="BG4" s="16"/>
      <c r="BH4" s="16">
        <f>IF(BG4&gt;84,84,BG4)</f>
        <v>0</v>
      </c>
      <c r="BI4" s="16"/>
      <c r="BJ4" s="16">
        <f>IF(BE4&lt;120,BE4,120)</f>
        <v>115</v>
      </c>
      <c r="BK4" s="16">
        <f>IF(BE4+BF4&lt;120,BF4,120-BE4-BF4)</f>
        <v>0</v>
      </c>
      <c r="BL4" s="16">
        <f>AW4+AX4+BA4+BB4+BE4+BF4</f>
        <v>228</v>
      </c>
      <c r="BM4" s="16">
        <f>IF(BL4&gt;120,120,BL4)</f>
        <v>120</v>
      </c>
      <c r="BN4" s="16">
        <f>IF(AX4+BB4+BF4&lt;BL4/2,(BJ4+BK4)*5.5+(BC4+BD4)*4+(AY4+AZ4)*3,BJ4*5.5+BK4*5.5*0.85+BC4*4+BD4*4*0.85+AY4*3+AZ4*3*0.85)</f>
        <v>652.5</v>
      </c>
      <c r="BO4" s="19"/>
    </row>
    <row r="5" spans="1:67" s="19" customFormat="1" ht="15.75" x14ac:dyDescent="0.25">
      <c r="A5" s="27">
        <v>3</v>
      </c>
      <c r="B5" s="30" t="s">
        <v>54</v>
      </c>
      <c r="C5" s="28">
        <f>IF((K5+M5+V5+X5+AE5+AH5+AO5)&gt;1000,1000,K5+M5+V5+X5+AE5+AH5+AO5)</f>
        <v>605</v>
      </c>
      <c r="D5" s="18">
        <f>IF(C5&gt;1000,1000,C5)</f>
        <v>605</v>
      </c>
      <c r="E5" s="18">
        <f>C5*33%</f>
        <v>199.65</v>
      </c>
      <c r="F5" s="18">
        <f>AS5+AU5+BN5</f>
        <v>772.5</v>
      </c>
      <c r="G5" s="18">
        <f>IF(F5&gt;1000,1000,F5)</f>
        <v>772.5</v>
      </c>
      <c r="H5" s="20">
        <f>G5*33%</f>
        <v>254.92500000000001</v>
      </c>
      <c r="I5" s="26">
        <f>E5+H5</f>
        <v>454.57500000000005</v>
      </c>
      <c r="J5" s="16">
        <v>1</v>
      </c>
      <c r="K5" s="16">
        <f>J5*100</f>
        <v>100</v>
      </c>
      <c r="L5" s="16"/>
      <c r="M5" s="16">
        <f>L5*30</f>
        <v>0</v>
      </c>
      <c r="N5" s="16">
        <v>1</v>
      </c>
      <c r="O5" s="16">
        <f t="shared" si="0"/>
        <v>200</v>
      </c>
      <c r="P5" s="16"/>
      <c r="Q5" s="16">
        <f>P5*70</f>
        <v>0</v>
      </c>
      <c r="R5" s="16"/>
      <c r="S5" s="16">
        <f>R5*150</f>
        <v>0</v>
      </c>
      <c r="T5" s="16"/>
      <c r="U5" s="16">
        <f>IF(T5&gt;0,50,T5)</f>
        <v>0</v>
      </c>
      <c r="V5" s="16">
        <f>IF((O5+Q5+S5+U5)&gt;250,250,O5+Q5+S5+U5)</f>
        <v>200</v>
      </c>
      <c r="W5" s="16">
        <v>1</v>
      </c>
      <c r="X5" s="16">
        <f>W5*275</f>
        <v>275</v>
      </c>
      <c r="Y5" s="16"/>
      <c r="Z5" s="16">
        <f>Y5*350</f>
        <v>0</v>
      </c>
      <c r="AA5" s="16"/>
      <c r="AB5" s="16">
        <f>AA5*100</f>
        <v>0</v>
      </c>
      <c r="AC5" s="16"/>
      <c r="AD5" s="16">
        <f>IF(AC5&gt;0,70,AC5)</f>
        <v>0</v>
      </c>
      <c r="AE5" s="16">
        <f>IF((Z5+AB5+AD5)&gt;420,420,Z5+AB5+AD5)</f>
        <v>0</v>
      </c>
      <c r="AF5" s="16">
        <v>4</v>
      </c>
      <c r="AG5" s="16">
        <f>AF5*5</f>
        <v>20</v>
      </c>
      <c r="AH5" s="16">
        <f>IF(AG5&gt;20,20,AG5)</f>
        <v>20</v>
      </c>
      <c r="AI5" s="16"/>
      <c r="AJ5" s="16">
        <f>AI5*50</f>
        <v>0</v>
      </c>
      <c r="AK5" s="16"/>
      <c r="AL5" s="16">
        <f>AK5*30</f>
        <v>0</v>
      </c>
      <c r="AM5" s="16">
        <v>1</v>
      </c>
      <c r="AN5" s="16">
        <f>AM5*10</f>
        <v>10</v>
      </c>
      <c r="AO5" s="16">
        <f>IF((AJ5+AL5+AN5)&gt;100,100,AJ5+AL5+AN5)</f>
        <v>10</v>
      </c>
      <c r="AP5" s="16">
        <v>402</v>
      </c>
      <c r="AQ5" s="16">
        <f>IF(AP5&gt;396,396,AP5)</f>
        <v>396</v>
      </c>
      <c r="AR5" s="16">
        <v>142</v>
      </c>
      <c r="AS5" s="16">
        <f>AR5*1.5</f>
        <v>213</v>
      </c>
      <c r="AT5" s="16"/>
      <c r="AU5" s="16">
        <f>AT5*1</f>
        <v>0</v>
      </c>
      <c r="AV5" s="16">
        <f>IF(AU5&gt;84,84,AU5)</f>
        <v>0</v>
      </c>
      <c r="AW5" s="16">
        <v>94</v>
      </c>
      <c r="AX5" s="16">
        <v>16</v>
      </c>
      <c r="AY5" s="16">
        <f>IF(BJ5+BK5+BC5+BD5+AW5&lt;120,AW5,120-BJ5-BK5-BC5-BD5)</f>
        <v>0</v>
      </c>
      <c r="AZ5" s="16">
        <f>IF(BJ5+BK5+BC5+BD5+AY5+AX5&lt;120,AX5,120-BJ5-BK5-BC5-BD5-AY5)</f>
        <v>0</v>
      </c>
      <c r="BA5" s="16">
        <v>91</v>
      </c>
      <c r="BB5" s="16"/>
      <c r="BC5" s="16">
        <f>IF(BJ5+BK5+BA5&lt;120,BA5,120-BJ5-BK5)</f>
        <v>67</v>
      </c>
      <c r="BD5" s="16">
        <f>IF(BJ5+BK5+BA5+BB5&lt;120,BB5,120-BJ5-BK5-BC5)</f>
        <v>0</v>
      </c>
      <c r="BE5" s="16">
        <v>53</v>
      </c>
      <c r="BF5" s="16"/>
      <c r="BG5" s="16"/>
      <c r="BH5" s="16"/>
      <c r="BI5" s="16"/>
      <c r="BJ5" s="16">
        <f>IF(BE5&lt;120,BE5,120)</f>
        <v>53</v>
      </c>
      <c r="BK5" s="16">
        <f>IF(BE5+BF5&lt;120,BF5,120-BE5-BF5)</f>
        <v>0</v>
      </c>
      <c r="BL5" s="16">
        <f>AW5+AX5+BA5+BB5+BE5+BF5</f>
        <v>254</v>
      </c>
      <c r="BM5" s="16">
        <f>IF(BL5&gt;120,120,BL5)</f>
        <v>120</v>
      </c>
      <c r="BN5" s="16">
        <f>IF(AX5+BB5+BF5&lt;BL5/2,(BJ5+BK5)*5.5+(BC5+BD5)*4+(AY5+AZ5)*3,BJ5*5.5+BK5*5.5*0.85+BC5*4+BD5*4*0.85+AY5*3+AZ5*3*0.85)</f>
        <v>559.5</v>
      </c>
      <c r="BO5" s="21"/>
    </row>
    <row r="6" spans="1:67" s="17" customFormat="1" ht="15.75" x14ac:dyDescent="0.25">
      <c r="A6" s="27">
        <v>4</v>
      </c>
      <c r="B6" s="31" t="s">
        <v>55</v>
      </c>
      <c r="C6" s="28">
        <f>IF((K6+M6+V6+X6+AE6+AH6+AO6)&gt;1000,1000,K6+M6+V6+X6+AE6+AH6+AO6)</f>
        <v>615</v>
      </c>
      <c r="D6" s="18">
        <f>IF(C6&gt;1000,1000,C6)</f>
        <v>615</v>
      </c>
      <c r="E6" s="18">
        <f>C6*33%</f>
        <v>202.95000000000002</v>
      </c>
      <c r="F6" s="18">
        <f>AS6+AU6+BN6</f>
        <v>670.5</v>
      </c>
      <c r="G6" s="18">
        <f>IF(F6&gt;1000,1000,F6)</f>
        <v>670.5</v>
      </c>
      <c r="H6" s="18">
        <f>G6*33%</f>
        <v>221.26500000000001</v>
      </c>
      <c r="I6" s="25">
        <f>E6+H6</f>
        <v>424.21500000000003</v>
      </c>
      <c r="J6" s="16">
        <v>1</v>
      </c>
      <c r="K6" s="16">
        <f>J6*100</f>
        <v>100</v>
      </c>
      <c r="L6" s="16"/>
      <c r="M6" s="16">
        <f>L6*30</f>
        <v>0</v>
      </c>
      <c r="N6" s="16"/>
      <c r="O6" s="16">
        <f>N6*200</f>
        <v>0</v>
      </c>
      <c r="P6" s="16">
        <v>1</v>
      </c>
      <c r="Q6" s="16">
        <f>P6*70</f>
        <v>70</v>
      </c>
      <c r="R6" s="16"/>
      <c r="S6" s="16">
        <f>R6*150</f>
        <v>0</v>
      </c>
      <c r="T6" s="16">
        <v>1</v>
      </c>
      <c r="U6" s="16">
        <f>IF(T6&gt;0,50,T6)</f>
        <v>50</v>
      </c>
      <c r="V6" s="16">
        <f>IF((O6+Q6+S6+U6)&gt;250,250,O6+Q6+S6+U6)</f>
        <v>120</v>
      </c>
      <c r="W6" s="16">
        <v>1</v>
      </c>
      <c r="X6" s="16">
        <f>W6*275</f>
        <v>275</v>
      </c>
      <c r="Y6" s="16"/>
      <c r="Z6" s="16">
        <f>Y6*350</f>
        <v>0</v>
      </c>
      <c r="AA6" s="16"/>
      <c r="AB6" s="16">
        <f>AA6*100</f>
        <v>0</v>
      </c>
      <c r="AC6" s="16"/>
      <c r="AD6" s="16">
        <f>IF(AC6&gt;0,70,AC6)</f>
        <v>0</v>
      </c>
      <c r="AE6" s="16">
        <f>IF((Z6+AB6+AD6)&gt;420,420,Z6+AB6+AD6)</f>
        <v>0</v>
      </c>
      <c r="AF6" s="16">
        <v>5</v>
      </c>
      <c r="AG6" s="16">
        <f>AF6*5</f>
        <v>25</v>
      </c>
      <c r="AH6" s="16">
        <f>IF(AG6&gt;20,20,AG6)</f>
        <v>20</v>
      </c>
      <c r="AI6" s="16">
        <v>2</v>
      </c>
      <c r="AJ6" s="16">
        <f>AI6*50</f>
        <v>100</v>
      </c>
      <c r="AK6" s="16"/>
      <c r="AL6" s="16">
        <f>AK6*30</f>
        <v>0</v>
      </c>
      <c r="AM6" s="16"/>
      <c r="AN6" s="16">
        <f>AM6*10</f>
        <v>0</v>
      </c>
      <c r="AO6" s="16">
        <f>IF((AJ6+AL6+AN6)&gt;100,100,AJ6+AL6+AN6)</f>
        <v>100</v>
      </c>
      <c r="AP6" s="16">
        <v>273</v>
      </c>
      <c r="AQ6" s="16">
        <f>IF(AP6&gt;396,396,AP6)</f>
        <v>273</v>
      </c>
      <c r="AR6" s="16">
        <f>AQ6-BM6</f>
        <v>153</v>
      </c>
      <c r="AS6" s="16">
        <f>AR6*1.5</f>
        <v>229.5</v>
      </c>
      <c r="AT6" s="16"/>
      <c r="AU6" s="16">
        <f>AT6*1</f>
        <v>0</v>
      </c>
      <c r="AV6" s="16">
        <f>IF(AU6&gt;84,84,AU6)</f>
        <v>0</v>
      </c>
      <c r="AW6" s="16">
        <v>108</v>
      </c>
      <c r="AX6" s="16">
        <v>4</v>
      </c>
      <c r="AY6" s="16">
        <f>IF(BJ6+BK6+BC6+BD6+AW6&lt;120,AW6,120-BJ6-BK6-BC6-BD6)</f>
        <v>39</v>
      </c>
      <c r="AZ6" s="16">
        <f>IF(BJ6+BK6+BC6+BD6+AY6+AX6&lt;120,AX6,120-BJ6-BK6-BC6-BD6-AY6)</f>
        <v>0</v>
      </c>
      <c r="BA6" s="16">
        <v>81</v>
      </c>
      <c r="BB6" s="16"/>
      <c r="BC6" s="16">
        <f>IF(BJ6+BK6+BA6&lt;120,BA6,120-BJ6-BK6)</f>
        <v>81</v>
      </c>
      <c r="BD6" s="16">
        <f>IF(BJ6+BK6+BA6+BB6&lt;120,BB6,120-BJ6-BK6-BC6)</f>
        <v>0</v>
      </c>
      <c r="BE6" s="16"/>
      <c r="BF6" s="16"/>
      <c r="BG6" s="16"/>
      <c r="BH6" s="16">
        <f>IF(BG6&gt;84,84,BG6)</f>
        <v>0</v>
      </c>
      <c r="BI6" s="16"/>
      <c r="BJ6" s="16">
        <f>IF(BE6&lt;120,BE6,120)</f>
        <v>0</v>
      </c>
      <c r="BK6" s="16">
        <f>IF(BE6+BF6&lt;120,BF6,120-BE6-BF6)</f>
        <v>0</v>
      </c>
      <c r="BL6" s="16">
        <f>AW6+AX6+BA6+BB6+BE6+BF6</f>
        <v>193</v>
      </c>
      <c r="BM6" s="16">
        <f>IF(BL6&gt;120,120,BL6)</f>
        <v>120</v>
      </c>
      <c r="BN6" s="16">
        <f>IF(AX6+BB6+BF6&lt;BL6/2,(BJ6+BK6)*5.5+(BC6+BD6)*4+(AY6+AZ6)*3,BJ6*5.5+BK6*5.5*0.85+BC6*4+BD6*4*0.85+AY6*3+AZ6*3*0.85)</f>
        <v>441</v>
      </c>
      <c r="BO6" s="19"/>
    </row>
    <row r="7" spans="1:67" s="17" customFormat="1" ht="15.75" x14ac:dyDescent="0.25">
      <c r="A7" s="27">
        <v>5</v>
      </c>
      <c r="B7" s="31" t="s">
        <v>56</v>
      </c>
      <c r="C7" s="28">
        <f t="shared" ref="C7" si="1">IF((K7+M7+V7+X7+AE7+AH7+AO7)&gt;1000,1000,K7+M7+V7+X7+AE7+AH7+AO7)</f>
        <v>645</v>
      </c>
      <c r="D7" s="18">
        <f t="shared" ref="D7" si="2">IF(C7&gt;1000,1000,C7)</f>
        <v>645</v>
      </c>
      <c r="E7" s="18">
        <f t="shared" ref="E7" si="3">C7*33%</f>
        <v>212.85000000000002</v>
      </c>
      <c r="F7" s="18">
        <f t="shared" ref="F7" si="4">AS7+AU7+BN7</f>
        <v>622</v>
      </c>
      <c r="G7" s="18">
        <f t="shared" ref="G7" si="5">IF(F7&gt;1000,1000,F7)</f>
        <v>622</v>
      </c>
      <c r="H7" s="18">
        <f t="shared" ref="H7" si="6">G7*33%</f>
        <v>205.26000000000002</v>
      </c>
      <c r="I7" s="25">
        <f t="shared" ref="I7" si="7">E7+H7</f>
        <v>418.11</v>
      </c>
      <c r="J7" s="16">
        <v>1</v>
      </c>
      <c r="K7" s="16">
        <f t="shared" ref="K7" si="8">J7*100</f>
        <v>100</v>
      </c>
      <c r="L7" s="16">
        <v>1</v>
      </c>
      <c r="M7" s="16">
        <f t="shared" ref="M7" si="9">L7*30</f>
        <v>30</v>
      </c>
      <c r="N7" s="16"/>
      <c r="O7" s="16">
        <f t="shared" ref="O7" si="10">N7*200</f>
        <v>0</v>
      </c>
      <c r="P7" s="16">
        <v>1</v>
      </c>
      <c r="Q7" s="16">
        <f t="shared" ref="Q7" si="11">P7*70</f>
        <v>70</v>
      </c>
      <c r="R7" s="16"/>
      <c r="S7" s="16">
        <f t="shared" ref="S7" si="12">R7*150</f>
        <v>0</v>
      </c>
      <c r="T7" s="16"/>
      <c r="U7" s="16">
        <f t="shared" ref="U7" si="13">IF(T7&gt;0,50,T7)</f>
        <v>0</v>
      </c>
      <c r="V7" s="16">
        <f t="shared" ref="V7" si="14">IF((O7+Q7+S7+U7)&gt;250,250,O7+Q7+S7+U7)</f>
        <v>70</v>
      </c>
      <c r="W7" s="16">
        <v>1</v>
      </c>
      <c r="X7" s="16">
        <f t="shared" ref="X7" si="15">W7*275</f>
        <v>275</v>
      </c>
      <c r="Y7" s="16"/>
      <c r="Z7" s="16">
        <f t="shared" ref="Z7" si="16">Y7*350</f>
        <v>0</v>
      </c>
      <c r="AA7" s="16">
        <v>1</v>
      </c>
      <c r="AB7" s="16">
        <f t="shared" ref="AB7" si="17">AA7*100</f>
        <v>100</v>
      </c>
      <c r="AC7" s="16"/>
      <c r="AD7" s="16">
        <f t="shared" ref="AD7" si="18">IF(AC7&gt;0,70,AC7)</f>
        <v>0</v>
      </c>
      <c r="AE7" s="16">
        <f t="shared" ref="AE7" si="19">IF((Z7+AB7+AD7)&gt;420,420,Z7+AB7+AD7)</f>
        <v>100</v>
      </c>
      <c r="AF7" s="16">
        <v>13</v>
      </c>
      <c r="AG7" s="16">
        <f t="shared" ref="AG7" si="20">AF7*5</f>
        <v>65</v>
      </c>
      <c r="AH7" s="16">
        <f t="shared" ref="AH7" si="21">IF(AG7&gt;20,20,AG7)</f>
        <v>20</v>
      </c>
      <c r="AI7" s="16">
        <v>1</v>
      </c>
      <c r="AJ7" s="16">
        <f t="shared" ref="AJ7" si="22">AI7*50</f>
        <v>50</v>
      </c>
      <c r="AK7" s="16"/>
      <c r="AL7" s="16">
        <f t="shared" ref="AL7" si="23">AK7*30</f>
        <v>0</v>
      </c>
      <c r="AM7" s="16"/>
      <c r="AN7" s="16">
        <f t="shared" ref="AN7" si="24">AM7*10</f>
        <v>0</v>
      </c>
      <c r="AO7" s="16">
        <f t="shared" ref="AO7" si="25">IF((AJ7+AL7+AN7)&gt;100,100,AJ7+AL7+AN7)</f>
        <v>50</v>
      </c>
      <c r="AP7" s="16">
        <v>238</v>
      </c>
      <c r="AQ7" s="16">
        <f t="shared" ref="AQ7" si="26">IF(AP7&gt;396,396,AP7)</f>
        <v>238</v>
      </c>
      <c r="AR7" s="16">
        <f t="shared" ref="AR7" si="27">AQ7-BM7</f>
        <v>168</v>
      </c>
      <c r="AS7" s="16">
        <f t="shared" ref="AS7" si="28">AR7*1.5</f>
        <v>252</v>
      </c>
      <c r="AT7" s="16"/>
      <c r="AU7" s="16">
        <f t="shared" ref="AU7" si="29">AT7*1</f>
        <v>0</v>
      </c>
      <c r="AV7" s="16">
        <f t="shared" ref="AV7" si="30">IF(AU7&gt;84,84,AU7)</f>
        <v>0</v>
      </c>
      <c r="AW7" s="16"/>
      <c r="AX7" s="16">
        <v>6</v>
      </c>
      <c r="AY7" s="16">
        <f t="shared" ref="AY7" si="31">IF(BJ7+BK7+BC7+BD7+AW7&lt;120,AW7,120-BJ7-BK7-BC7-BD7)</f>
        <v>0</v>
      </c>
      <c r="AZ7" s="16">
        <f t="shared" ref="AZ7" si="32">IF(BJ7+BK7+BC7+BD7+AY7+AX7&lt;120,AX7,120-BJ7-BK7-BC7-BD7-AY7)</f>
        <v>6</v>
      </c>
      <c r="BA7" s="16"/>
      <c r="BB7" s="16"/>
      <c r="BC7" s="16">
        <f t="shared" ref="BC7" si="33">IF(BJ7+BK7+BA7&lt;120,BA7,120-BJ7-BK7)</f>
        <v>0</v>
      </c>
      <c r="BD7" s="16">
        <f t="shared" ref="BD7" si="34">IF(BJ7+BK7+BA7+BB7&lt;120,BB7,120-BJ7-BK7-BC7)</f>
        <v>0</v>
      </c>
      <c r="BE7" s="16">
        <v>64</v>
      </c>
      <c r="BF7" s="16"/>
      <c r="BG7" s="16">
        <v>0</v>
      </c>
      <c r="BH7" s="16">
        <f t="shared" ref="BH7" si="35">IF(BG7&gt;84,84,BG7)</f>
        <v>0</v>
      </c>
      <c r="BI7" s="16"/>
      <c r="BJ7" s="16">
        <f t="shared" ref="BJ7" si="36">IF(BE7&lt;120,BE7,120)</f>
        <v>64</v>
      </c>
      <c r="BK7" s="16">
        <f t="shared" ref="BK7" si="37">IF(BE7+BF7&lt;120,BF7,120-BE7-BF7)</f>
        <v>0</v>
      </c>
      <c r="BL7" s="16">
        <f t="shared" ref="BL7" si="38">AW7+AX7+BA7+BB7+BE7+BF7</f>
        <v>70</v>
      </c>
      <c r="BM7" s="16">
        <f t="shared" ref="BM7" si="39">IF(BL7&gt;120,120,BL7)</f>
        <v>70</v>
      </c>
      <c r="BN7" s="16">
        <f t="shared" ref="BN7" si="40">IF(AX7+BB7+BF7&lt;BL7/2,(BJ7+BK7)*5.5+(BC7+BD7)*4+(AY7+AZ7)*3,BJ7*5.5+BK7*5.5*0.85+BC7*4+BD7*4*0.85+AY7*3+AZ7*3*0.85)</f>
        <v>370</v>
      </c>
      <c r="BO7" s="19"/>
    </row>
    <row r="8" spans="1:67" s="17" customFormat="1" ht="15.75" x14ac:dyDescent="0.25">
      <c r="A8" s="27">
        <v>6</v>
      </c>
      <c r="B8" s="31" t="s">
        <v>57</v>
      </c>
      <c r="C8" s="28">
        <f>IF((K8+M8+V8+X8+AE8+AH8+AO8)&gt;1000,1000,K8+M8+V8+X8+AE8+AH8+AO8)</f>
        <v>410</v>
      </c>
      <c r="D8" s="18">
        <f>IF(C8&gt;1000,1000,C8)</f>
        <v>410</v>
      </c>
      <c r="E8" s="18">
        <f>C8*33%</f>
        <v>135.30000000000001</v>
      </c>
      <c r="F8" s="18">
        <f>AS8+AU8+BN8</f>
        <v>785</v>
      </c>
      <c r="G8" s="18">
        <f>IF(F8&gt;1000,1000,F8)</f>
        <v>785</v>
      </c>
      <c r="H8" s="18">
        <f>G8*33%</f>
        <v>259.05</v>
      </c>
      <c r="I8" s="25">
        <f>E8+H8</f>
        <v>394.35</v>
      </c>
      <c r="J8" s="16">
        <v>1</v>
      </c>
      <c r="K8" s="16">
        <f>J8*100</f>
        <v>100</v>
      </c>
      <c r="L8" s="16">
        <v>1</v>
      </c>
      <c r="M8" s="16">
        <f>L8*30</f>
        <v>30</v>
      </c>
      <c r="N8" s="16">
        <v>1</v>
      </c>
      <c r="O8" s="16">
        <f>N8*200</f>
        <v>200</v>
      </c>
      <c r="P8" s="16"/>
      <c r="Q8" s="16">
        <f>P8*70</f>
        <v>0</v>
      </c>
      <c r="R8" s="16"/>
      <c r="S8" s="16">
        <f>R8*150</f>
        <v>0</v>
      </c>
      <c r="T8" s="16">
        <v>1</v>
      </c>
      <c r="U8" s="16">
        <f>IF(T8&gt;0,50,T8)</f>
        <v>50</v>
      </c>
      <c r="V8" s="16">
        <f>IF((O8+Q8+S8+U8)&gt;250,250,O8+Q8+S8+U8)</f>
        <v>250</v>
      </c>
      <c r="W8" s="16"/>
      <c r="X8" s="16">
        <f>W8*275</f>
        <v>0</v>
      </c>
      <c r="Y8" s="16"/>
      <c r="Z8" s="16">
        <f>Y8*350</f>
        <v>0</v>
      </c>
      <c r="AA8" s="16"/>
      <c r="AB8" s="16">
        <f>AA8*100</f>
        <v>0</v>
      </c>
      <c r="AC8" s="16"/>
      <c r="AD8" s="16">
        <f>IF(AC8&gt;0,70,AC8)</f>
        <v>0</v>
      </c>
      <c r="AE8" s="16">
        <f>IF((Z8+AB8+AD8)&gt;420,420,Z8+AB8+AD8)</f>
        <v>0</v>
      </c>
      <c r="AF8" s="16">
        <v>5</v>
      </c>
      <c r="AG8" s="16">
        <f>AF8*5</f>
        <v>25</v>
      </c>
      <c r="AH8" s="16">
        <f>IF(AG8&gt;20,20,AG8)</f>
        <v>20</v>
      </c>
      <c r="AI8" s="16"/>
      <c r="AJ8" s="16">
        <f>AI8*50</f>
        <v>0</v>
      </c>
      <c r="AK8" s="16"/>
      <c r="AL8" s="16">
        <f>AK8*30</f>
        <v>0</v>
      </c>
      <c r="AM8" s="16">
        <v>1</v>
      </c>
      <c r="AN8" s="16">
        <f>AM8*10</f>
        <v>10</v>
      </c>
      <c r="AO8" s="16">
        <f>IF((AJ8+AL8+AN8)&gt;100,100,AJ8+AL8+AN8)</f>
        <v>10</v>
      </c>
      <c r="AP8" s="16">
        <v>390</v>
      </c>
      <c r="AQ8" s="16">
        <f>IF(AP8&gt;396,396,AP8)</f>
        <v>390</v>
      </c>
      <c r="AR8" s="16">
        <f>AQ8-BM8</f>
        <v>270</v>
      </c>
      <c r="AS8" s="16">
        <f>AR8*1.5</f>
        <v>405</v>
      </c>
      <c r="AT8" s="16"/>
      <c r="AU8" s="16">
        <f>AT8*1</f>
        <v>0</v>
      </c>
      <c r="AV8" s="16">
        <f>IF(AU8&gt;84,84,AU8)</f>
        <v>0</v>
      </c>
      <c r="AW8" s="16">
        <v>134</v>
      </c>
      <c r="AX8" s="16">
        <v>9</v>
      </c>
      <c r="AY8" s="16">
        <f>IF(BJ8+BK8+BC8+BD8+AW8&lt;120,AW8,120-BJ8-BK8-BC8-BD8)</f>
        <v>100</v>
      </c>
      <c r="AZ8" s="16">
        <f>IF(BJ8+BK8+BC8+BD8+AY8+AX8&lt;120,AX8,120-BJ8-BK8-BC8-BD8-AY8)</f>
        <v>0</v>
      </c>
      <c r="BA8" s="16"/>
      <c r="BB8" s="16">
        <v>20</v>
      </c>
      <c r="BC8" s="16">
        <f>IF(BJ8+BK8+BA8&lt;120,BA8,120-BJ8-BK8)</f>
        <v>0</v>
      </c>
      <c r="BD8" s="16">
        <f>IF(BJ8+BK8+BA8+BB8&lt;120,BB8,120-BJ8-BK8-BC8)</f>
        <v>20</v>
      </c>
      <c r="BE8" s="16"/>
      <c r="BF8" s="16"/>
      <c r="BG8" s="16"/>
      <c r="BH8" s="16">
        <f>IF(BG8&gt;84,84,BG8)</f>
        <v>0</v>
      </c>
      <c r="BI8" s="16"/>
      <c r="BJ8" s="16">
        <f>IF(BE8&lt;120,BE8,120)</f>
        <v>0</v>
      </c>
      <c r="BK8" s="16">
        <f>IF(BE8+BF8&lt;120,BF8,120-BE8-BF8)</f>
        <v>0</v>
      </c>
      <c r="BL8" s="16">
        <f>AW8+AX8+BA8+BB8+BE8+BF8</f>
        <v>163</v>
      </c>
      <c r="BM8" s="16">
        <f>IF(BL8&gt;120,120,BL8)</f>
        <v>120</v>
      </c>
      <c r="BN8" s="16">
        <f>IF(AX8+BB8+BF8&lt;BL8/2,(BJ8+BK8)*5.5+(BC8+BD8)*4+(AY8+AZ8)*3,BJ8*5.5+BK8*5.5*0.85+BC8*4+BD8*4*0.85+AY8*3+AZ8*3*0.85)</f>
        <v>380</v>
      </c>
      <c r="BO8" s="19"/>
    </row>
    <row r="9" spans="1:67" s="17" customFormat="1" ht="15.75" x14ac:dyDescent="0.25">
      <c r="A9" s="27">
        <v>7</v>
      </c>
      <c r="B9" s="31" t="s">
        <v>58</v>
      </c>
      <c r="C9" s="28">
        <f>IF((K9+M9+V9+X9+AE9+AH9+AO9)&gt;1000,1000,K9+M9+V9+X9+AE9+AH9+AO9)</f>
        <v>720</v>
      </c>
      <c r="D9" s="18">
        <f>IF(C9&gt;1000,1000,C9)</f>
        <v>720</v>
      </c>
      <c r="E9" s="18">
        <f>C9*33%</f>
        <v>237.60000000000002</v>
      </c>
      <c r="F9" s="18">
        <f>AS9+AU9+BN9</f>
        <v>447.35</v>
      </c>
      <c r="G9" s="18">
        <f>IF(F9&gt;1000,1000,F9)</f>
        <v>447.35</v>
      </c>
      <c r="H9" s="18">
        <f>G9*33%</f>
        <v>147.62550000000002</v>
      </c>
      <c r="I9" s="25">
        <f>E9+H9</f>
        <v>385.22550000000001</v>
      </c>
      <c r="J9" s="16">
        <v>1</v>
      </c>
      <c r="K9" s="16">
        <f>J9*100</f>
        <v>100</v>
      </c>
      <c r="L9" s="16"/>
      <c r="M9" s="16">
        <f>L9*30</f>
        <v>0</v>
      </c>
      <c r="N9" s="16">
        <v>1</v>
      </c>
      <c r="O9" s="16">
        <f>N9*200</f>
        <v>200</v>
      </c>
      <c r="P9" s="16"/>
      <c r="Q9" s="16">
        <f>P9*70</f>
        <v>0</v>
      </c>
      <c r="R9" s="16"/>
      <c r="S9" s="16">
        <f>R9*150</f>
        <v>0</v>
      </c>
      <c r="T9" s="16"/>
      <c r="U9" s="16">
        <f>IF(T9&gt;0,50,T9)</f>
        <v>0</v>
      </c>
      <c r="V9" s="16">
        <f>IF((O9+Q9+S9+U9)&gt;250,250,O9+Q9+S9+U9)</f>
        <v>200</v>
      </c>
      <c r="W9" s="16"/>
      <c r="X9" s="16">
        <f>W9*275</f>
        <v>0</v>
      </c>
      <c r="Y9" s="16">
        <v>1</v>
      </c>
      <c r="Z9" s="16">
        <f>Y9*350</f>
        <v>350</v>
      </c>
      <c r="AA9" s="16"/>
      <c r="AB9" s="16">
        <f>AA9*100</f>
        <v>0</v>
      </c>
      <c r="AC9" s="16"/>
      <c r="AD9" s="16">
        <f>IF(AC9&gt;0,70,AC9)</f>
        <v>0</v>
      </c>
      <c r="AE9" s="16">
        <f>IF((Z9+AB9+AD9)&gt;420,420,Z9+AB9+AD9)</f>
        <v>350</v>
      </c>
      <c r="AF9" s="16">
        <v>4</v>
      </c>
      <c r="AG9" s="16">
        <f>AF9*5</f>
        <v>20</v>
      </c>
      <c r="AH9" s="16">
        <f>IF(AG9&gt;20,20,AG9)</f>
        <v>20</v>
      </c>
      <c r="AI9" s="16">
        <v>1</v>
      </c>
      <c r="AJ9" s="16">
        <f>AI9*50</f>
        <v>50</v>
      </c>
      <c r="AK9" s="16"/>
      <c r="AL9" s="16">
        <f>AK9*30</f>
        <v>0</v>
      </c>
      <c r="AM9" s="16"/>
      <c r="AN9" s="16">
        <f>AM9*10</f>
        <v>0</v>
      </c>
      <c r="AO9" s="16">
        <f>IF((AJ9+AL9+AN9)&gt;100,100,AJ9+AL9+AN9)</f>
        <v>50</v>
      </c>
      <c r="AP9" s="16">
        <v>238</v>
      </c>
      <c r="AQ9" s="16">
        <f>IF(AP9&gt;396,396,AP9)</f>
        <v>238</v>
      </c>
      <c r="AR9" s="16">
        <f>AQ9-BM9</f>
        <v>191</v>
      </c>
      <c r="AS9" s="16">
        <f>AR9*1.5</f>
        <v>286.5</v>
      </c>
      <c r="AT9" s="16">
        <v>41</v>
      </c>
      <c r="AU9" s="16">
        <f>AT9*1</f>
        <v>41</v>
      </c>
      <c r="AV9" s="16">
        <f>IF(AU9&gt;84,84,AU9)</f>
        <v>41</v>
      </c>
      <c r="AW9" s="16"/>
      <c r="AX9" s="16">
        <v>47</v>
      </c>
      <c r="AY9" s="16">
        <f>IF(BJ9+BK9+BC9+BD9+AW9&lt;120,AW9,120-BJ9-BK9-BC9-BD9)</f>
        <v>0</v>
      </c>
      <c r="AZ9" s="16">
        <f>IF(BJ9+BK9+BC9+BD9+AY9+AX9&lt;120,AX9,120-BJ9-BK9-BC9-BD9-AY9)</f>
        <v>47</v>
      </c>
      <c r="BA9" s="16"/>
      <c r="BB9" s="16"/>
      <c r="BC9" s="16">
        <f>IF(BJ9+BK9+BA9&lt;120,BA9,120-BJ9-BK9)</f>
        <v>0</v>
      </c>
      <c r="BD9" s="16">
        <f>IF(BJ9+BK9+BA9+BB9&lt;120,BB9,120-BJ9-BK9-BC9)</f>
        <v>0</v>
      </c>
      <c r="BE9" s="16"/>
      <c r="BF9" s="16"/>
      <c r="BG9" s="16"/>
      <c r="BH9" s="16">
        <f>IF(BG9&gt;84,84,BG9)</f>
        <v>0</v>
      </c>
      <c r="BI9" s="16"/>
      <c r="BJ9" s="16">
        <f>IF(BE9&lt;120,BE9,120)</f>
        <v>0</v>
      </c>
      <c r="BK9" s="16">
        <f>IF(BE9+BF9&lt;120,BF9,120-BE9-BF9)</f>
        <v>0</v>
      </c>
      <c r="BL9" s="16">
        <f>AW9+AX9+BA9+BB9+BE9+BF9</f>
        <v>47</v>
      </c>
      <c r="BM9" s="16">
        <f>IF(BL9&gt;120,120,BL9)</f>
        <v>47</v>
      </c>
      <c r="BN9" s="16">
        <f>IF(AX9+BB9+BF9&lt;BL9/2,(BJ9+BK9)*5.5+(BC9+BD9)*4+(AY9+AZ9)*3,BJ9*5.5+BK9*5.5*0.85+BC9*4+BD9*4*0.85+AY9*3+AZ9*3*0.85)</f>
        <v>119.85</v>
      </c>
      <c r="BO9" s="19"/>
    </row>
    <row r="10" spans="1:67" s="19" customFormat="1" ht="15.75" x14ac:dyDescent="0.25">
      <c r="A10" s="27">
        <v>8</v>
      </c>
      <c r="B10" s="31" t="s">
        <v>59</v>
      </c>
      <c r="C10" s="28">
        <f>IF((K10+M10+V10+X10+AE10+AH10+AO10)&gt;1000,1000,K10+M10+V10+X10+AE10+AH10+AO10)</f>
        <v>455</v>
      </c>
      <c r="D10" s="18">
        <f>IF(C10&gt;1000,1000,C10)</f>
        <v>455</v>
      </c>
      <c r="E10" s="18">
        <f>C10*33%</f>
        <v>150.15</v>
      </c>
      <c r="F10" s="18">
        <f>AS10+AU10+BN10</f>
        <v>693</v>
      </c>
      <c r="G10" s="18">
        <f>IF(F10&gt;1000,1000,F10)</f>
        <v>693</v>
      </c>
      <c r="H10" s="20">
        <f>G10*33%</f>
        <v>228.69</v>
      </c>
      <c r="I10" s="26">
        <f>E10+H10</f>
        <v>378.84000000000003</v>
      </c>
      <c r="J10" s="16">
        <v>1</v>
      </c>
      <c r="K10" s="16">
        <f>J10*100</f>
        <v>100</v>
      </c>
      <c r="L10" s="16"/>
      <c r="M10" s="16">
        <f>L10*30</f>
        <v>0</v>
      </c>
      <c r="N10" s="16"/>
      <c r="O10" s="16">
        <f>N10*200</f>
        <v>0</v>
      </c>
      <c r="P10" s="16">
        <v>1</v>
      </c>
      <c r="Q10" s="16">
        <f>P10*70</f>
        <v>70</v>
      </c>
      <c r="R10" s="16"/>
      <c r="S10" s="16">
        <f>R10*150</f>
        <v>0</v>
      </c>
      <c r="T10" s="16"/>
      <c r="U10" s="16">
        <f>IF(T10&gt;0,50,T10)</f>
        <v>0</v>
      </c>
      <c r="V10" s="16">
        <f>IF((O10+Q10+S10+U10)&gt;250,250,O10+Q10+S10+U10)</f>
        <v>70</v>
      </c>
      <c r="W10" s="16">
        <v>1</v>
      </c>
      <c r="X10" s="16">
        <f>W10*275</f>
        <v>275</v>
      </c>
      <c r="Y10" s="16"/>
      <c r="Z10" s="16">
        <f>Y10*350</f>
        <v>0</v>
      </c>
      <c r="AA10" s="16"/>
      <c r="AB10" s="16">
        <f>AA10*100</f>
        <v>0</v>
      </c>
      <c r="AC10" s="16"/>
      <c r="AD10" s="16">
        <f>IF(AC10&gt;0,70,AC10)</f>
        <v>0</v>
      </c>
      <c r="AE10" s="16">
        <f>IF((Z10+AB10+AD10)&gt;420,420,Z10+AB10+AD10)</f>
        <v>0</v>
      </c>
      <c r="AF10" s="16">
        <v>2</v>
      </c>
      <c r="AG10" s="16">
        <f>AF10*5</f>
        <v>10</v>
      </c>
      <c r="AH10" s="16">
        <f>IF(AG10&gt;20,20,AG10)</f>
        <v>10</v>
      </c>
      <c r="AI10" s="16"/>
      <c r="AJ10" s="16">
        <f>AI10*50</f>
        <v>0</v>
      </c>
      <c r="AK10" s="16"/>
      <c r="AL10" s="16">
        <f>AK10*30</f>
        <v>0</v>
      </c>
      <c r="AM10" s="16"/>
      <c r="AN10" s="16">
        <f>AM10*10</f>
        <v>0</v>
      </c>
      <c r="AO10" s="16">
        <f>IF((AJ10+AL10+AN10)&gt;100,100,AJ10+AL10+AN10)</f>
        <v>0</v>
      </c>
      <c r="AP10" s="16">
        <v>382</v>
      </c>
      <c r="AQ10" s="16">
        <f>IF(AP10&gt;396,396,AP10)</f>
        <v>382</v>
      </c>
      <c r="AR10" s="16">
        <v>142</v>
      </c>
      <c r="AS10" s="16">
        <f>AR10*1.5</f>
        <v>213</v>
      </c>
      <c r="AT10" s="16"/>
      <c r="AU10" s="16">
        <f>AT10*1</f>
        <v>0</v>
      </c>
      <c r="AV10" s="16">
        <f>IF(AU10&gt;84,84,AU10)</f>
        <v>0</v>
      </c>
      <c r="AW10" s="16">
        <v>42</v>
      </c>
      <c r="AX10" s="16"/>
      <c r="AY10" s="16">
        <f>IF(BJ10+BK10+BC10+BD10+AW10&lt;120,AW10,120-BJ10-BK10-BC10-BD10)</f>
        <v>0</v>
      </c>
      <c r="AZ10" s="16">
        <f>IF(BJ10+BK10+BC10+BD10+AY10+AX10&lt;120,AX10,120-BJ10-BK10-BC10-BD10-AY10)</f>
        <v>0</v>
      </c>
      <c r="BA10" s="16">
        <v>120</v>
      </c>
      <c r="BB10" s="16"/>
      <c r="BC10" s="16">
        <f>IF(BJ10+BK10+BA10&lt;120,BA10,120-BJ10-BK10)</f>
        <v>120</v>
      </c>
      <c r="BD10" s="16">
        <f>IF(BJ10+BK10+BA10+BB10&lt;120,BB10,120-BJ10-BK10-BC10)</f>
        <v>0</v>
      </c>
      <c r="BE10" s="16"/>
      <c r="BF10" s="16"/>
      <c r="BG10" s="16"/>
      <c r="BH10" s="16"/>
      <c r="BI10" s="16"/>
      <c r="BJ10" s="16">
        <f>IF(BE10&lt;120,BE10,120)</f>
        <v>0</v>
      </c>
      <c r="BK10" s="16">
        <f>IF(BE10+BF10&lt;120,BF10,120-BE10-BF10)</f>
        <v>0</v>
      </c>
      <c r="BL10" s="16">
        <f>AW10+AX10+BA10+BB10+BE10+BF10</f>
        <v>162</v>
      </c>
      <c r="BM10" s="16">
        <f>IF(BL10&gt;120,120,BL10)</f>
        <v>120</v>
      </c>
      <c r="BN10" s="16">
        <f>IF(AX10+BB10+BF10&lt;BL10/2,(BJ10+BK10)*5.5+(BC10+BD10)*4+(AY10+AZ10)*3,BJ10*5.5+BK10*5.5*0.85+BC10*4+BD10*4*0.85+AY10*3+AZ10*3*0.85)</f>
        <v>480</v>
      </c>
      <c r="BO10" s="21"/>
    </row>
    <row r="11" spans="1:67" s="19" customFormat="1" ht="15.75" x14ac:dyDescent="0.25">
      <c r="A11" s="27">
        <v>9</v>
      </c>
      <c r="B11" s="31" t="s">
        <v>60</v>
      </c>
      <c r="C11" s="28">
        <f t="shared" ref="C11" si="41">IF((K11+M11+V11+X11+AE11+AH11+AO11)&gt;1000,1000,K11+M11+V11+X11+AE11+AH11+AO11)</f>
        <v>355</v>
      </c>
      <c r="D11" s="18">
        <f t="shared" ref="D11" si="42">IF(C11&gt;1000,1000,C11)</f>
        <v>355</v>
      </c>
      <c r="E11" s="18">
        <f t="shared" ref="E11" si="43">C11*33%</f>
        <v>117.15</v>
      </c>
      <c r="F11" s="18">
        <f t="shared" ref="F11" si="44">AS11+AU11+BN11</f>
        <v>776</v>
      </c>
      <c r="G11" s="18">
        <f t="shared" ref="G11" si="45">IF(F11&gt;1000,1000,F11)</f>
        <v>776</v>
      </c>
      <c r="H11" s="20">
        <f t="shared" ref="H11" si="46">G11*33%</f>
        <v>256.08</v>
      </c>
      <c r="I11" s="26">
        <f t="shared" ref="I11" si="47">E11+H11</f>
        <v>373.23</v>
      </c>
      <c r="J11" s="16">
        <v>1</v>
      </c>
      <c r="K11" s="16">
        <f t="shared" ref="K11" si="48">J11*100</f>
        <v>100</v>
      </c>
      <c r="L11" s="16"/>
      <c r="M11" s="16">
        <f t="shared" ref="M11" si="49">L11*30</f>
        <v>0</v>
      </c>
      <c r="N11" s="16">
        <v>1</v>
      </c>
      <c r="O11" s="16">
        <f t="shared" ref="O11" si="50">N11*200</f>
        <v>200</v>
      </c>
      <c r="P11" s="16"/>
      <c r="Q11" s="16">
        <f t="shared" ref="Q11" si="51">P11*70</f>
        <v>0</v>
      </c>
      <c r="R11" s="16"/>
      <c r="S11" s="16">
        <f t="shared" ref="S11" si="52">R11*150</f>
        <v>0</v>
      </c>
      <c r="T11" s="16"/>
      <c r="U11" s="16">
        <f t="shared" ref="U11" si="53">IF(T11&gt;0,50,T11)</f>
        <v>0</v>
      </c>
      <c r="V11" s="16">
        <f t="shared" ref="V11" si="54">IF((O11+Q11+S11+U11)&gt;250,250,O11+Q11+S11+U11)</f>
        <v>200</v>
      </c>
      <c r="W11" s="16"/>
      <c r="X11" s="16">
        <f t="shared" ref="X11" si="55">W11*275</f>
        <v>0</v>
      </c>
      <c r="Y11" s="16"/>
      <c r="Z11" s="16">
        <f t="shared" ref="Z11" si="56">Y11*350</f>
        <v>0</v>
      </c>
      <c r="AA11" s="16"/>
      <c r="AB11" s="16">
        <f t="shared" ref="AB11" si="57">AA11*100</f>
        <v>0</v>
      </c>
      <c r="AC11" s="16"/>
      <c r="AD11" s="16">
        <f t="shared" ref="AD11" si="58">IF(AC11&gt;0,70,AC11)</f>
        <v>0</v>
      </c>
      <c r="AE11" s="16">
        <f t="shared" ref="AE11" si="59">IF((Z11+AB11+AD11)&gt;420,420,Z11+AB11+AD11)</f>
        <v>0</v>
      </c>
      <c r="AF11" s="16">
        <v>1</v>
      </c>
      <c r="AG11" s="16">
        <f t="shared" ref="AG11" si="60">AF11*5</f>
        <v>5</v>
      </c>
      <c r="AH11" s="16">
        <f t="shared" ref="AH11" si="61">IF(AG11&gt;20,20,AG11)</f>
        <v>5</v>
      </c>
      <c r="AI11" s="16">
        <v>1</v>
      </c>
      <c r="AJ11" s="16">
        <f t="shared" ref="AJ11" si="62">AI11*50</f>
        <v>50</v>
      </c>
      <c r="AK11" s="16"/>
      <c r="AL11" s="16">
        <f t="shared" ref="AL11" si="63">AK11*30</f>
        <v>0</v>
      </c>
      <c r="AM11" s="16"/>
      <c r="AN11" s="16">
        <f t="shared" ref="AN11" si="64">AM11*10</f>
        <v>0</v>
      </c>
      <c r="AO11" s="16">
        <f t="shared" ref="AO11" si="65">IF((AJ11+AL11+AN11)&gt;100,100,AJ11+AL11+AN11)</f>
        <v>50</v>
      </c>
      <c r="AP11" s="16">
        <v>296</v>
      </c>
      <c r="AQ11" s="16">
        <f t="shared" ref="AQ11" si="66">IF(AP11&gt;396,396,AP11)</f>
        <v>296</v>
      </c>
      <c r="AR11" s="16">
        <v>142</v>
      </c>
      <c r="AS11" s="16">
        <f t="shared" ref="AS11" si="67">AR11*1.5</f>
        <v>213</v>
      </c>
      <c r="AT11" s="16">
        <v>83</v>
      </c>
      <c r="AU11" s="16">
        <f t="shared" ref="AU11" si="68">AT11*1</f>
        <v>83</v>
      </c>
      <c r="AV11" s="16">
        <f t="shared" ref="AV11" si="69">IF(AU11&gt;84,84,AU11)</f>
        <v>83</v>
      </c>
      <c r="AW11" s="16"/>
      <c r="AX11" s="16"/>
      <c r="AY11" s="16">
        <f t="shared" ref="AY11" si="70">IF(BJ11+BK11+BC11+BD11+AW11&lt;120,AW11,120-BJ11-BK11-BC11-BD11)</f>
        <v>0</v>
      </c>
      <c r="AZ11" s="16">
        <f t="shared" ref="AZ11" si="71">IF(BJ11+BK11+BC11+BD11+AY11+AX11&lt;120,AX11,120-BJ11-BK11-BC11-BD11-AY11)</f>
        <v>0</v>
      </c>
      <c r="BA11" s="16">
        <v>262</v>
      </c>
      <c r="BB11" s="16"/>
      <c r="BC11" s="16">
        <f t="shared" ref="BC11" si="72">IF(BJ11+BK11+BA11&lt;120,BA11,120-BJ11-BK11)</f>
        <v>120</v>
      </c>
      <c r="BD11" s="16">
        <f t="shared" ref="BD11" si="73">IF(BJ11+BK11+BA11+BB11&lt;120,BB11,120-BJ11-BK11-BC11)</f>
        <v>0</v>
      </c>
      <c r="BE11" s="16"/>
      <c r="BF11" s="16"/>
      <c r="BG11" s="16"/>
      <c r="BH11" s="16"/>
      <c r="BI11" s="16"/>
      <c r="BJ11" s="16">
        <f t="shared" ref="BJ11" si="74">IF(BE11&lt;120,BE11,120)</f>
        <v>0</v>
      </c>
      <c r="BK11" s="16">
        <f t="shared" ref="BK11" si="75">IF(BE11+BF11&lt;120,BF11,120-BE11-BF11)</f>
        <v>0</v>
      </c>
      <c r="BL11" s="16">
        <f t="shared" ref="BL11" si="76">AW11+AX11+BA11+BB11+BE11+BF11</f>
        <v>262</v>
      </c>
      <c r="BM11" s="16">
        <f t="shared" ref="BM11" si="77">IF(BL11&gt;120,120,BL11)</f>
        <v>120</v>
      </c>
      <c r="BN11" s="16">
        <f t="shared" ref="BN11" si="78">IF(AX11+BB11+BF11&lt;BL11/2,(BJ11+BK11)*5.5+(BC11+BD11)*4+(AY11+AZ11)*3,BJ11*5.5+BK11*5.5*0.85+BC11*4+BD11*4*0.85+AY11*3+AZ11*3*0.85)</f>
        <v>480</v>
      </c>
      <c r="BO11" s="21"/>
    </row>
    <row r="12" spans="1:67" s="19" customFormat="1" ht="15.75" x14ac:dyDescent="0.25">
      <c r="A12" s="27">
        <v>10</v>
      </c>
      <c r="B12" s="31" t="s">
        <v>61</v>
      </c>
      <c r="C12" s="28">
        <f t="shared" ref="C12" si="79">IF((K12+M12+V12+X12+AE12+AH12+AO12)&gt;1000,1000,K12+M12+V12+X12+AE12+AH12+AO12)</f>
        <v>520</v>
      </c>
      <c r="D12" s="18">
        <f t="shared" ref="D12" si="80">IF(C12&gt;1000,1000,C12)</f>
        <v>520</v>
      </c>
      <c r="E12" s="18">
        <f t="shared" ref="E12" si="81">C12*33%</f>
        <v>171.6</v>
      </c>
      <c r="F12" s="18">
        <f t="shared" ref="F12" si="82">AS12+AU12+BN12</f>
        <v>573</v>
      </c>
      <c r="G12" s="18">
        <f t="shared" ref="G12" si="83">IF(F12&gt;1000,1000,F12)</f>
        <v>573</v>
      </c>
      <c r="H12" s="20">
        <f t="shared" ref="H12" si="84">G12*33%</f>
        <v>189.09</v>
      </c>
      <c r="I12" s="26">
        <f t="shared" ref="I12" si="85">E12+H12</f>
        <v>360.69</v>
      </c>
      <c r="J12" s="16">
        <v>1</v>
      </c>
      <c r="K12" s="16">
        <f t="shared" ref="K12" si="86">J12*100</f>
        <v>100</v>
      </c>
      <c r="L12" s="16"/>
      <c r="M12" s="16">
        <f t="shared" ref="M12" si="87">L12*30</f>
        <v>0</v>
      </c>
      <c r="N12" s="16">
        <v>1</v>
      </c>
      <c r="O12" s="16">
        <f>N12*200</f>
        <v>200</v>
      </c>
      <c r="P12" s="16"/>
      <c r="Q12" s="16">
        <f t="shared" ref="Q12" si="88">P12*70</f>
        <v>0</v>
      </c>
      <c r="R12" s="16"/>
      <c r="S12" s="16">
        <f t="shared" ref="S12" si="89">R12*150</f>
        <v>0</v>
      </c>
      <c r="T12" s="16">
        <v>1</v>
      </c>
      <c r="U12" s="16">
        <f t="shared" ref="U12" si="90">IF(T12&gt;0,50,T12)</f>
        <v>50</v>
      </c>
      <c r="V12" s="16">
        <f t="shared" ref="V12" si="91">IF((O12+Q12+S12+U12)&gt;250,250,O12+Q12+S12+U12)</f>
        <v>250</v>
      </c>
      <c r="W12" s="16"/>
      <c r="X12" s="16">
        <f t="shared" ref="X12" si="92">W12*275</f>
        <v>0</v>
      </c>
      <c r="Y12" s="16"/>
      <c r="Z12" s="16">
        <f t="shared" ref="Z12" si="93">Y12*350</f>
        <v>0</v>
      </c>
      <c r="AA12" s="16">
        <v>1</v>
      </c>
      <c r="AB12" s="16">
        <f t="shared" ref="AB12" si="94">AA12*100</f>
        <v>100</v>
      </c>
      <c r="AC12" s="16"/>
      <c r="AD12" s="16">
        <f t="shared" ref="AD12" si="95">IF(AC12&gt;0,70,AC12)</f>
        <v>0</v>
      </c>
      <c r="AE12" s="16">
        <f t="shared" ref="AE12" si="96">IF((Z12+AB12+AD12)&gt;420,420,Z12+AB12+AD12)</f>
        <v>100</v>
      </c>
      <c r="AF12" s="16">
        <v>9</v>
      </c>
      <c r="AG12" s="16">
        <f t="shared" ref="AG12" si="97">AF12*5</f>
        <v>45</v>
      </c>
      <c r="AH12" s="16">
        <f t="shared" ref="AH12" si="98">IF(AG12&gt;20,20,AG12)</f>
        <v>20</v>
      </c>
      <c r="AI12" s="16">
        <v>1</v>
      </c>
      <c r="AJ12" s="16">
        <f t="shared" ref="AJ12" si="99">AI12*50</f>
        <v>50</v>
      </c>
      <c r="AK12" s="16"/>
      <c r="AL12" s="16">
        <f t="shared" ref="AL12" si="100">AK12*30</f>
        <v>0</v>
      </c>
      <c r="AM12" s="16"/>
      <c r="AN12" s="16">
        <f t="shared" ref="AN12" si="101">AM12*10</f>
        <v>0</v>
      </c>
      <c r="AO12" s="16">
        <f t="shared" ref="AO12" si="102">IF((AJ12+AL12+AN12)&gt;100,100,AJ12+AL12+AN12)</f>
        <v>50</v>
      </c>
      <c r="AP12" s="16">
        <v>398</v>
      </c>
      <c r="AQ12" s="16">
        <f t="shared" ref="AQ12" si="103">IF(AP12&gt;396,396,AP12)</f>
        <v>396</v>
      </c>
      <c r="AR12" s="16">
        <v>142</v>
      </c>
      <c r="AS12" s="16">
        <f t="shared" ref="AS12" si="104">AR12*1.5</f>
        <v>213</v>
      </c>
      <c r="AT12" s="16"/>
      <c r="AU12" s="16">
        <f t="shared" ref="AU12" si="105">AT12*1</f>
        <v>0</v>
      </c>
      <c r="AV12" s="16">
        <f t="shared" ref="AV12" si="106">IF(AU12&gt;84,84,AU12)</f>
        <v>0</v>
      </c>
      <c r="AW12" s="16">
        <v>198</v>
      </c>
      <c r="AX12" s="16"/>
      <c r="AY12" s="16">
        <f t="shared" ref="AY12" si="107">IF(BJ12+BK12+BC12+BD12+AW12&lt;120,AW12,120-BJ12-BK12-BC12-BD12)</f>
        <v>120</v>
      </c>
      <c r="AZ12" s="16">
        <f t="shared" ref="AZ12" si="108">IF(BJ12+BK12+BC12+BD12+AY12+AX12&lt;120,AX12,120-BJ12-BK12-BC12-BD12-AY12)</f>
        <v>0</v>
      </c>
      <c r="BA12" s="16"/>
      <c r="BB12" s="16"/>
      <c r="BC12" s="16">
        <f t="shared" ref="BC12" si="109">IF(BJ12+BK12+BA12&lt;120,BA12,120-BJ12-BK12)</f>
        <v>0</v>
      </c>
      <c r="BD12" s="16">
        <f t="shared" ref="BD12" si="110">IF(BJ12+BK12+BA12+BB12&lt;120,BB12,120-BJ12-BK12-BC12)</f>
        <v>0</v>
      </c>
      <c r="BE12" s="16"/>
      <c r="BF12" s="16"/>
      <c r="BG12" s="16"/>
      <c r="BH12" s="16"/>
      <c r="BI12" s="16"/>
      <c r="BJ12" s="16">
        <f t="shared" ref="BJ12" si="111">IF(BE12&lt;120,BE12,120)</f>
        <v>0</v>
      </c>
      <c r="BK12" s="16">
        <f t="shared" ref="BK12" si="112">IF(BE12+BF12&lt;120,BF12,120-BE12-BF12)</f>
        <v>0</v>
      </c>
      <c r="BL12" s="16">
        <f t="shared" ref="BL12" si="113">AW12+AX12+BA12+BB12+BE12+BF12</f>
        <v>198</v>
      </c>
      <c r="BM12" s="16">
        <f t="shared" ref="BM12" si="114">IF(BL12&gt;120,120,BL12)</f>
        <v>120</v>
      </c>
      <c r="BN12" s="16">
        <f t="shared" ref="BN12" si="115">IF(AX12+BB12+BF12&lt;BL12/2,(BJ12+BK12)*5.5+(BC12+BD12)*4+(AY12+AZ12)*3,BJ12*5.5+BK12*5.5*0.85+BC12*4+BD12*4*0.85+AY12*3+AZ12*3*0.85)</f>
        <v>360</v>
      </c>
      <c r="BO12" s="21"/>
    </row>
    <row r="13" spans="1:67" s="19" customFormat="1" ht="15.75" x14ac:dyDescent="0.25">
      <c r="A13" s="27">
        <v>11</v>
      </c>
      <c r="B13" s="31" t="s">
        <v>62</v>
      </c>
      <c r="C13" s="28">
        <f t="shared" ref="C13:C18" si="116">IF((K13+M13+V13+X13+AE13+AH13+AO13)&gt;1000,1000,K13+M13+V13+X13+AE13+AH13+AO13)</f>
        <v>430</v>
      </c>
      <c r="D13" s="18">
        <f t="shared" ref="D13:D18" si="117">IF(C13&gt;1000,1000,C13)</f>
        <v>430</v>
      </c>
      <c r="E13" s="18">
        <f t="shared" ref="E13:E18" si="118">C13*33%</f>
        <v>141.9</v>
      </c>
      <c r="F13" s="18">
        <f t="shared" ref="F13:F18" si="119">AS13+AU13+BN13</f>
        <v>658</v>
      </c>
      <c r="G13" s="18">
        <f t="shared" ref="G13:G18" si="120">IF(F13&gt;1000,1000,F13)</f>
        <v>658</v>
      </c>
      <c r="H13" s="20">
        <f t="shared" ref="H13:H18" si="121">G13*33%</f>
        <v>217.14000000000001</v>
      </c>
      <c r="I13" s="26">
        <f t="shared" ref="I13:I18" si="122">E13+H13</f>
        <v>359.04</v>
      </c>
      <c r="J13" s="16">
        <v>1</v>
      </c>
      <c r="K13" s="16">
        <f t="shared" ref="K13:K18" si="123">J13*100</f>
        <v>100</v>
      </c>
      <c r="L13" s="16"/>
      <c r="M13" s="16">
        <f t="shared" ref="M13:M18" si="124">L13*30</f>
        <v>0</v>
      </c>
      <c r="N13" s="16"/>
      <c r="O13" s="16">
        <f t="shared" ref="O13:O18" si="125">N13*200</f>
        <v>0</v>
      </c>
      <c r="P13" s="16"/>
      <c r="Q13" s="16">
        <f t="shared" ref="Q13:Q18" si="126">P13*70</f>
        <v>0</v>
      </c>
      <c r="R13" s="16"/>
      <c r="S13" s="16">
        <f t="shared" ref="S13:S18" si="127">R13*150</f>
        <v>0</v>
      </c>
      <c r="T13" s="16"/>
      <c r="U13" s="16">
        <f t="shared" ref="U13:U18" si="128">IF(T13&gt;0,50,T13)</f>
        <v>0</v>
      </c>
      <c r="V13" s="16">
        <f t="shared" ref="V13:V18" si="129">IF((O13+Q13+S13+U13)&gt;250,250,O13+Q13+S13+U13)</f>
        <v>0</v>
      </c>
      <c r="W13" s="16">
        <v>1</v>
      </c>
      <c r="X13" s="16">
        <f t="shared" ref="X13:X18" si="130">W13*275</f>
        <v>275</v>
      </c>
      <c r="Y13" s="16"/>
      <c r="Z13" s="16">
        <f t="shared" ref="Z13:Z18" si="131">Y13*350</f>
        <v>0</v>
      </c>
      <c r="AA13" s="16"/>
      <c r="AB13" s="16">
        <f t="shared" ref="AB13:AB18" si="132">AA13*100</f>
        <v>0</v>
      </c>
      <c r="AC13" s="16"/>
      <c r="AD13" s="16">
        <f t="shared" ref="AD13:AD18" si="133">IF(AC13&gt;0,70,AC13)</f>
        <v>0</v>
      </c>
      <c r="AE13" s="16">
        <f t="shared" ref="AE13:AE18" si="134">IF((Z13+AB13+AD13)&gt;420,420,Z13+AB13+AD13)</f>
        <v>0</v>
      </c>
      <c r="AF13" s="16">
        <v>3</v>
      </c>
      <c r="AG13" s="16">
        <f t="shared" ref="AG13:AG18" si="135">AF13*5</f>
        <v>15</v>
      </c>
      <c r="AH13" s="16">
        <f t="shared" ref="AH13:AH18" si="136">IF(AG13&gt;20,20,AG13)</f>
        <v>15</v>
      </c>
      <c r="AI13" s="16"/>
      <c r="AJ13" s="16">
        <f t="shared" ref="AJ13:AJ18" si="137">AI13*50</f>
        <v>0</v>
      </c>
      <c r="AK13" s="16">
        <v>1</v>
      </c>
      <c r="AL13" s="16">
        <f>AK13*30</f>
        <v>30</v>
      </c>
      <c r="AM13" s="16">
        <v>1</v>
      </c>
      <c r="AN13" s="16">
        <f t="shared" ref="AN13:AN19" si="138">AM13*10</f>
        <v>10</v>
      </c>
      <c r="AO13" s="16">
        <f t="shared" ref="AO13:AO18" si="139">IF((AJ13+AL13+AN13)&gt;100,100,AJ13+AL13+AN13)</f>
        <v>40</v>
      </c>
      <c r="AP13" s="16">
        <v>425</v>
      </c>
      <c r="AQ13" s="16">
        <f t="shared" ref="AQ13:AQ18" si="140">IF(AP13&gt;396,396,AP13)</f>
        <v>396</v>
      </c>
      <c r="AR13" s="16">
        <v>142</v>
      </c>
      <c r="AS13" s="16">
        <f t="shared" ref="AS13:AS18" si="141">AR13*1.5</f>
        <v>213</v>
      </c>
      <c r="AT13" s="16"/>
      <c r="AU13" s="16">
        <f t="shared" ref="AU13:AU18" si="142">AT13*1</f>
        <v>0</v>
      </c>
      <c r="AV13" s="16">
        <f t="shared" ref="AV13:AV18" si="143">IF(AU13&gt;84,84,AU13)</f>
        <v>0</v>
      </c>
      <c r="AW13" s="16">
        <v>151</v>
      </c>
      <c r="AX13" s="16"/>
      <c r="AY13" s="16">
        <f t="shared" ref="AY13:AY18" si="144">IF(BJ13+BK13+BC13+BD13+AW13&lt;120,AW13,120-BJ13-BK13-BC13-BD13)</f>
        <v>35</v>
      </c>
      <c r="AZ13" s="16">
        <f t="shared" ref="AZ13:AZ18" si="145">IF(BJ13+BK13+BC13+BD13+AY13+AX13&lt;120,AX13,120-BJ13-BK13-BC13-BD13-AY13)</f>
        <v>0</v>
      </c>
      <c r="BA13" s="16">
        <v>85</v>
      </c>
      <c r="BB13" s="16"/>
      <c r="BC13" s="16">
        <f t="shared" ref="BC13:BC19" si="146">IF(BJ13+BK13+BA13&lt;120,BA13,120-BJ13-BK13)</f>
        <v>85</v>
      </c>
      <c r="BD13" s="16">
        <f>IF(BJ13+BK13+BA13+BB13&lt;120,BB13,120-BJ13-BK13-BC13)</f>
        <v>0</v>
      </c>
      <c r="BE13" s="16"/>
      <c r="BF13" s="16"/>
      <c r="BG13" s="16"/>
      <c r="BH13" s="16"/>
      <c r="BI13" s="16"/>
      <c r="BJ13" s="16">
        <f t="shared" ref="BJ13:BJ18" si="147">IF(BE13&lt;120,BE13,120)</f>
        <v>0</v>
      </c>
      <c r="BK13" s="16">
        <f t="shared" ref="BK13:BK18" si="148">IF(BE13+BF13&lt;120,BF13,120-BE13-BF13)</f>
        <v>0</v>
      </c>
      <c r="BL13" s="16">
        <f t="shared" ref="BL13:BL18" si="149">AW13+AX13+BA13+BB13+BE13+BF13</f>
        <v>236</v>
      </c>
      <c r="BM13" s="16">
        <f t="shared" ref="BM13:BM18" si="150">IF(BL13&gt;120,120,BL13)</f>
        <v>120</v>
      </c>
      <c r="BN13" s="16">
        <f t="shared" ref="BN13:BN18" si="151">IF(AX13+BB13+BF13&lt;BL13/2,(BJ13+BK13)*5.5+(BC13+BD13)*4+(AY13+AZ13)*3,BJ13*5.5+BK13*5.5*0.85+BC13*4+BD13*4*0.85+AY13*3+AZ13*3*0.85)</f>
        <v>445</v>
      </c>
      <c r="BO13" s="21"/>
    </row>
    <row r="14" spans="1:67" s="17" customFormat="1" ht="15.75" x14ac:dyDescent="0.25">
      <c r="A14" s="27">
        <v>12</v>
      </c>
      <c r="B14" s="31" t="s">
        <v>63</v>
      </c>
      <c r="C14" s="28">
        <f t="shared" si="116"/>
        <v>370</v>
      </c>
      <c r="D14" s="18">
        <f t="shared" si="117"/>
        <v>370</v>
      </c>
      <c r="E14" s="18">
        <f t="shared" si="118"/>
        <v>122.10000000000001</v>
      </c>
      <c r="F14" s="18">
        <f t="shared" si="119"/>
        <v>699</v>
      </c>
      <c r="G14" s="18">
        <f t="shared" si="120"/>
        <v>699</v>
      </c>
      <c r="H14" s="18">
        <f t="shared" si="121"/>
        <v>230.67000000000002</v>
      </c>
      <c r="I14" s="25">
        <f t="shared" si="122"/>
        <v>352.77000000000004</v>
      </c>
      <c r="J14" s="16">
        <v>1</v>
      </c>
      <c r="K14" s="16">
        <f t="shared" si="123"/>
        <v>100</v>
      </c>
      <c r="L14" s="16"/>
      <c r="M14" s="16">
        <f t="shared" si="124"/>
        <v>0</v>
      </c>
      <c r="N14" s="16">
        <v>1</v>
      </c>
      <c r="O14" s="16">
        <f t="shared" si="125"/>
        <v>200</v>
      </c>
      <c r="P14" s="16"/>
      <c r="Q14" s="16">
        <f t="shared" si="126"/>
        <v>0</v>
      </c>
      <c r="R14" s="16"/>
      <c r="S14" s="16">
        <f t="shared" si="127"/>
        <v>0</v>
      </c>
      <c r="T14" s="16"/>
      <c r="U14" s="16">
        <f t="shared" si="128"/>
        <v>0</v>
      </c>
      <c r="V14" s="16">
        <f t="shared" si="129"/>
        <v>200</v>
      </c>
      <c r="W14" s="16"/>
      <c r="X14" s="16">
        <f t="shared" si="130"/>
        <v>0</v>
      </c>
      <c r="Y14" s="16"/>
      <c r="Z14" s="16">
        <f t="shared" si="131"/>
        <v>0</v>
      </c>
      <c r="AA14" s="16"/>
      <c r="AB14" s="16">
        <f t="shared" si="132"/>
        <v>0</v>
      </c>
      <c r="AC14" s="16"/>
      <c r="AD14" s="16">
        <f t="shared" si="133"/>
        <v>0</v>
      </c>
      <c r="AE14" s="16">
        <f t="shared" si="134"/>
        <v>0</v>
      </c>
      <c r="AF14" s="16">
        <v>9</v>
      </c>
      <c r="AG14" s="16">
        <f t="shared" si="135"/>
        <v>45</v>
      </c>
      <c r="AH14" s="16">
        <f t="shared" si="136"/>
        <v>20</v>
      </c>
      <c r="AI14" s="16">
        <v>1</v>
      </c>
      <c r="AJ14" s="16">
        <f t="shared" si="137"/>
        <v>50</v>
      </c>
      <c r="AK14" s="16"/>
      <c r="AL14" s="16">
        <f>AK14*30</f>
        <v>0</v>
      </c>
      <c r="AM14" s="16"/>
      <c r="AN14" s="16">
        <f t="shared" si="138"/>
        <v>0</v>
      </c>
      <c r="AO14" s="16">
        <f t="shared" si="139"/>
        <v>50</v>
      </c>
      <c r="AP14" s="16">
        <v>246</v>
      </c>
      <c r="AQ14" s="16">
        <f t="shared" si="140"/>
        <v>246</v>
      </c>
      <c r="AR14" s="16">
        <f>AQ14-BM14</f>
        <v>167</v>
      </c>
      <c r="AS14" s="16">
        <f t="shared" si="141"/>
        <v>250.5</v>
      </c>
      <c r="AT14" s="16">
        <v>84</v>
      </c>
      <c r="AU14" s="16">
        <f t="shared" si="142"/>
        <v>84</v>
      </c>
      <c r="AV14" s="16">
        <f t="shared" si="143"/>
        <v>84</v>
      </c>
      <c r="AW14" s="16">
        <v>28</v>
      </c>
      <c r="AX14" s="16"/>
      <c r="AY14" s="16">
        <f t="shared" si="144"/>
        <v>28</v>
      </c>
      <c r="AZ14" s="16">
        <f t="shared" si="145"/>
        <v>0</v>
      </c>
      <c r="BA14" s="16"/>
      <c r="BB14" s="16"/>
      <c r="BC14" s="16">
        <f t="shared" si="146"/>
        <v>0</v>
      </c>
      <c r="BD14" s="16">
        <f>IF(BJ14+BK14+BA14+BB14&lt;120,BB14,120-BJ14-BK14-BC14)</f>
        <v>0</v>
      </c>
      <c r="BE14" s="16">
        <v>51</v>
      </c>
      <c r="BF14" s="16"/>
      <c r="BG14" s="16"/>
      <c r="BH14" s="16">
        <f>IF(BG14&gt;84,84,BG14)</f>
        <v>0</v>
      </c>
      <c r="BI14" s="16"/>
      <c r="BJ14" s="16">
        <f t="shared" si="147"/>
        <v>51</v>
      </c>
      <c r="BK14" s="16">
        <f t="shared" si="148"/>
        <v>0</v>
      </c>
      <c r="BL14" s="16">
        <f t="shared" si="149"/>
        <v>79</v>
      </c>
      <c r="BM14" s="16">
        <f t="shared" si="150"/>
        <v>79</v>
      </c>
      <c r="BN14" s="16">
        <f t="shared" si="151"/>
        <v>364.5</v>
      </c>
      <c r="BO14" s="19"/>
    </row>
    <row r="15" spans="1:67" s="22" customFormat="1" ht="15.75" x14ac:dyDescent="0.25">
      <c r="A15" s="27">
        <v>13</v>
      </c>
      <c r="B15" s="31" t="s">
        <v>64</v>
      </c>
      <c r="C15" s="28">
        <f t="shared" si="116"/>
        <v>355</v>
      </c>
      <c r="D15" s="18">
        <f t="shared" si="117"/>
        <v>355</v>
      </c>
      <c r="E15" s="18">
        <f t="shared" si="118"/>
        <v>117.15</v>
      </c>
      <c r="F15" s="18">
        <f t="shared" si="119"/>
        <v>677.05</v>
      </c>
      <c r="G15" s="18">
        <f t="shared" si="120"/>
        <v>677.05</v>
      </c>
      <c r="H15" s="18">
        <f t="shared" si="121"/>
        <v>223.4265</v>
      </c>
      <c r="I15" s="25">
        <f t="shared" si="122"/>
        <v>340.57650000000001</v>
      </c>
      <c r="J15" s="16">
        <v>1</v>
      </c>
      <c r="K15" s="16">
        <f t="shared" si="123"/>
        <v>100</v>
      </c>
      <c r="L15" s="16"/>
      <c r="M15" s="16">
        <f t="shared" si="124"/>
        <v>0</v>
      </c>
      <c r="N15" s="16">
        <v>1</v>
      </c>
      <c r="O15" s="16">
        <f t="shared" si="125"/>
        <v>200</v>
      </c>
      <c r="P15" s="16"/>
      <c r="Q15" s="16">
        <f t="shared" si="126"/>
        <v>0</v>
      </c>
      <c r="R15" s="16"/>
      <c r="S15" s="16">
        <f t="shared" si="127"/>
        <v>0</v>
      </c>
      <c r="T15" s="16"/>
      <c r="U15" s="16">
        <f t="shared" si="128"/>
        <v>0</v>
      </c>
      <c r="V15" s="16">
        <f t="shared" si="129"/>
        <v>200</v>
      </c>
      <c r="W15" s="16"/>
      <c r="X15" s="16">
        <f t="shared" si="130"/>
        <v>0</v>
      </c>
      <c r="Y15" s="16"/>
      <c r="Z15" s="16">
        <f t="shared" si="131"/>
        <v>0</v>
      </c>
      <c r="AA15" s="16"/>
      <c r="AB15" s="16">
        <f t="shared" si="132"/>
        <v>0</v>
      </c>
      <c r="AC15" s="16"/>
      <c r="AD15" s="16">
        <f t="shared" si="133"/>
        <v>0</v>
      </c>
      <c r="AE15" s="16">
        <f t="shared" si="134"/>
        <v>0</v>
      </c>
      <c r="AF15" s="16">
        <v>1</v>
      </c>
      <c r="AG15" s="16">
        <f t="shared" si="135"/>
        <v>5</v>
      </c>
      <c r="AH15" s="16">
        <f t="shared" si="136"/>
        <v>5</v>
      </c>
      <c r="AI15" s="16">
        <v>1</v>
      </c>
      <c r="AJ15" s="16">
        <f t="shared" si="137"/>
        <v>50</v>
      </c>
      <c r="AK15" s="16"/>
      <c r="AL15" s="16">
        <f>AK15*30</f>
        <v>0</v>
      </c>
      <c r="AM15" s="16"/>
      <c r="AN15" s="16">
        <f t="shared" si="138"/>
        <v>0</v>
      </c>
      <c r="AO15" s="16">
        <f t="shared" si="139"/>
        <v>50</v>
      </c>
      <c r="AP15" s="16">
        <v>309</v>
      </c>
      <c r="AQ15" s="16">
        <f t="shared" si="140"/>
        <v>309</v>
      </c>
      <c r="AR15" s="16">
        <f>AQ15-BM15</f>
        <v>189</v>
      </c>
      <c r="AS15" s="16">
        <f t="shared" si="141"/>
        <v>283.5</v>
      </c>
      <c r="AT15" s="16"/>
      <c r="AU15" s="16">
        <f t="shared" si="142"/>
        <v>0</v>
      </c>
      <c r="AV15" s="16">
        <f t="shared" si="143"/>
        <v>0</v>
      </c>
      <c r="AW15" s="16"/>
      <c r="AX15" s="16">
        <v>74</v>
      </c>
      <c r="AY15" s="16">
        <f t="shared" si="144"/>
        <v>0</v>
      </c>
      <c r="AZ15" s="16">
        <f t="shared" si="145"/>
        <v>17</v>
      </c>
      <c r="BA15" s="16">
        <v>0</v>
      </c>
      <c r="BB15" s="16">
        <v>103</v>
      </c>
      <c r="BC15" s="16">
        <f t="shared" si="146"/>
        <v>0</v>
      </c>
      <c r="BD15" s="16">
        <f>IF(BJ15+BK15+BA15+BB15&lt;120,BB15,120-BJ15-BK15-BC15)</f>
        <v>103</v>
      </c>
      <c r="BE15" s="16"/>
      <c r="BF15" s="16"/>
      <c r="BG15" s="16"/>
      <c r="BH15" s="16">
        <f>IF(BG15&gt;84,84,BG15)</f>
        <v>0</v>
      </c>
      <c r="BI15" s="16"/>
      <c r="BJ15" s="16">
        <f t="shared" si="147"/>
        <v>0</v>
      </c>
      <c r="BK15" s="16">
        <f t="shared" si="148"/>
        <v>0</v>
      </c>
      <c r="BL15" s="16">
        <f t="shared" si="149"/>
        <v>177</v>
      </c>
      <c r="BM15" s="16">
        <f t="shared" si="150"/>
        <v>120</v>
      </c>
      <c r="BN15" s="16">
        <f t="shared" si="151"/>
        <v>393.55</v>
      </c>
      <c r="BO15" s="19"/>
    </row>
    <row r="16" spans="1:67" s="17" customFormat="1" ht="15.75" x14ac:dyDescent="0.25">
      <c r="A16" s="27">
        <v>14</v>
      </c>
      <c r="B16" s="31" t="s">
        <v>65</v>
      </c>
      <c r="C16" s="28">
        <f t="shared" si="116"/>
        <v>420</v>
      </c>
      <c r="D16" s="18">
        <f t="shared" si="117"/>
        <v>420</v>
      </c>
      <c r="E16" s="18">
        <f t="shared" si="118"/>
        <v>138.6</v>
      </c>
      <c r="F16" s="18">
        <f t="shared" si="119"/>
        <v>593.70000000000005</v>
      </c>
      <c r="G16" s="18">
        <f t="shared" si="120"/>
        <v>593.70000000000005</v>
      </c>
      <c r="H16" s="18">
        <f t="shared" si="121"/>
        <v>195.92100000000002</v>
      </c>
      <c r="I16" s="25">
        <f t="shared" si="122"/>
        <v>334.52100000000002</v>
      </c>
      <c r="J16" s="16">
        <v>1</v>
      </c>
      <c r="K16" s="16">
        <f t="shared" si="123"/>
        <v>100</v>
      </c>
      <c r="L16" s="16"/>
      <c r="M16" s="16">
        <f t="shared" si="124"/>
        <v>0</v>
      </c>
      <c r="N16" s="16">
        <v>1</v>
      </c>
      <c r="O16" s="16">
        <f t="shared" si="125"/>
        <v>200</v>
      </c>
      <c r="P16" s="16"/>
      <c r="Q16" s="16">
        <f t="shared" si="126"/>
        <v>0</v>
      </c>
      <c r="R16" s="16"/>
      <c r="S16" s="16">
        <f t="shared" si="127"/>
        <v>0</v>
      </c>
      <c r="T16" s="16">
        <v>1</v>
      </c>
      <c r="U16" s="16">
        <f t="shared" si="128"/>
        <v>50</v>
      </c>
      <c r="V16" s="16">
        <f t="shared" si="129"/>
        <v>250</v>
      </c>
      <c r="W16" s="16"/>
      <c r="X16" s="16">
        <f t="shared" si="130"/>
        <v>0</v>
      </c>
      <c r="Y16" s="16"/>
      <c r="Z16" s="16">
        <f t="shared" si="131"/>
        <v>0</v>
      </c>
      <c r="AA16" s="16"/>
      <c r="AB16" s="16">
        <f t="shared" si="132"/>
        <v>0</v>
      </c>
      <c r="AC16" s="16"/>
      <c r="AD16" s="16">
        <f t="shared" si="133"/>
        <v>0</v>
      </c>
      <c r="AE16" s="16">
        <f t="shared" si="134"/>
        <v>0</v>
      </c>
      <c r="AF16" s="16">
        <v>7</v>
      </c>
      <c r="AG16" s="16">
        <f t="shared" si="135"/>
        <v>35</v>
      </c>
      <c r="AH16" s="16">
        <f t="shared" si="136"/>
        <v>20</v>
      </c>
      <c r="AI16" s="16">
        <v>1</v>
      </c>
      <c r="AJ16" s="16">
        <f t="shared" si="137"/>
        <v>50</v>
      </c>
      <c r="AK16" s="16"/>
      <c r="AL16" s="16">
        <f>AK16*30</f>
        <v>0</v>
      </c>
      <c r="AM16" s="16"/>
      <c r="AN16" s="16">
        <f t="shared" si="138"/>
        <v>0</v>
      </c>
      <c r="AO16" s="16">
        <f t="shared" si="139"/>
        <v>50</v>
      </c>
      <c r="AP16" s="16">
        <v>344</v>
      </c>
      <c r="AQ16" s="16">
        <f t="shared" si="140"/>
        <v>344</v>
      </c>
      <c r="AR16" s="16">
        <f>AQ16-BM16</f>
        <v>270</v>
      </c>
      <c r="AS16" s="16">
        <f t="shared" si="141"/>
        <v>405</v>
      </c>
      <c r="AT16" s="16"/>
      <c r="AU16" s="16">
        <f t="shared" si="142"/>
        <v>0</v>
      </c>
      <c r="AV16" s="16">
        <f t="shared" si="143"/>
        <v>0</v>
      </c>
      <c r="AW16" s="16"/>
      <c r="AX16" s="16">
        <v>74</v>
      </c>
      <c r="AY16" s="16">
        <f t="shared" si="144"/>
        <v>0</v>
      </c>
      <c r="AZ16" s="16">
        <f t="shared" si="145"/>
        <v>74</v>
      </c>
      <c r="BA16" s="16"/>
      <c r="BB16" s="16"/>
      <c r="BC16" s="16">
        <f t="shared" si="146"/>
        <v>0</v>
      </c>
      <c r="BD16" s="16">
        <f>IF(BJ16+BK16+BA16+BB16&lt;120,BB16,120-BJ16-BK16-BC16)</f>
        <v>0</v>
      </c>
      <c r="BE16" s="16"/>
      <c r="BF16" s="16"/>
      <c r="BG16" s="16"/>
      <c r="BH16" s="16">
        <f>IF(BG16&gt;84,84,BG16)</f>
        <v>0</v>
      </c>
      <c r="BI16" s="16"/>
      <c r="BJ16" s="16">
        <f t="shared" si="147"/>
        <v>0</v>
      </c>
      <c r="BK16" s="16">
        <f t="shared" si="148"/>
        <v>0</v>
      </c>
      <c r="BL16" s="16">
        <f t="shared" si="149"/>
        <v>74</v>
      </c>
      <c r="BM16" s="16">
        <f t="shared" si="150"/>
        <v>74</v>
      </c>
      <c r="BN16" s="16">
        <f t="shared" si="151"/>
        <v>188.7</v>
      </c>
      <c r="BO16" s="19"/>
    </row>
    <row r="17" spans="1:67" s="19" customFormat="1" ht="15.75" x14ac:dyDescent="0.25">
      <c r="A17" s="27">
        <v>15</v>
      </c>
      <c r="B17" s="31" t="s">
        <v>66</v>
      </c>
      <c r="C17" s="28">
        <f t="shared" si="116"/>
        <v>585</v>
      </c>
      <c r="D17" s="18">
        <f t="shared" si="117"/>
        <v>585</v>
      </c>
      <c r="E17" s="18">
        <f t="shared" si="118"/>
        <v>193.05</v>
      </c>
      <c r="F17" s="18">
        <f t="shared" si="119"/>
        <v>393</v>
      </c>
      <c r="G17" s="18">
        <f t="shared" si="120"/>
        <v>393</v>
      </c>
      <c r="H17" s="20">
        <f t="shared" si="121"/>
        <v>129.69</v>
      </c>
      <c r="I17" s="26">
        <f t="shared" si="122"/>
        <v>322.74</v>
      </c>
      <c r="J17" s="16">
        <v>1</v>
      </c>
      <c r="K17" s="16">
        <f t="shared" si="123"/>
        <v>100</v>
      </c>
      <c r="L17" s="16"/>
      <c r="M17" s="16">
        <f t="shared" si="124"/>
        <v>0</v>
      </c>
      <c r="N17" s="16"/>
      <c r="O17" s="16">
        <f t="shared" si="125"/>
        <v>0</v>
      </c>
      <c r="P17" s="16">
        <v>1</v>
      </c>
      <c r="Q17" s="16">
        <f t="shared" si="126"/>
        <v>70</v>
      </c>
      <c r="R17" s="16"/>
      <c r="S17" s="16">
        <f t="shared" si="127"/>
        <v>0</v>
      </c>
      <c r="T17" s="16"/>
      <c r="U17" s="16">
        <f t="shared" si="128"/>
        <v>0</v>
      </c>
      <c r="V17" s="16">
        <f t="shared" si="129"/>
        <v>70</v>
      </c>
      <c r="W17" s="16"/>
      <c r="X17" s="16">
        <f t="shared" si="130"/>
        <v>0</v>
      </c>
      <c r="Y17" s="16">
        <v>1</v>
      </c>
      <c r="Z17" s="16">
        <f t="shared" si="131"/>
        <v>350</v>
      </c>
      <c r="AA17" s="16"/>
      <c r="AB17" s="16">
        <f t="shared" si="132"/>
        <v>0</v>
      </c>
      <c r="AC17" s="16"/>
      <c r="AD17" s="16">
        <f t="shared" si="133"/>
        <v>0</v>
      </c>
      <c r="AE17" s="16">
        <f t="shared" si="134"/>
        <v>350</v>
      </c>
      <c r="AF17" s="16">
        <v>1</v>
      </c>
      <c r="AG17" s="16">
        <f t="shared" si="135"/>
        <v>5</v>
      </c>
      <c r="AH17" s="16">
        <f t="shared" si="136"/>
        <v>5</v>
      </c>
      <c r="AI17" s="16">
        <v>1</v>
      </c>
      <c r="AJ17" s="16">
        <f t="shared" si="137"/>
        <v>50</v>
      </c>
      <c r="AK17" s="16"/>
      <c r="AL17" s="16">
        <f t="shared" ref="AL17" si="152">AK17*30</f>
        <v>0</v>
      </c>
      <c r="AM17" s="16">
        <v>1</v>
      </c>
      <c r="AN17" s="16">
        <f t="shared" si="138"/>
        <v>10</v>
      </c>
      <c r="AO17" s="16">
        <f t="shared" si="139"/>
        <v>60</v>
      </c>
      <c r="AP17" s="16">
        <v>246</v>
      </c>
      <c r="AQ17" s="16">
        <f t="shared" si="140"/>
        <v>246</v>
      </c>
      <c r="AR17" s="16">
        <v>142</v>
      </c>
      <c r="AS17" s="16">
        <f t="shared" si="141"/>
        <v>213</v>
      </c>
      <c r="AT17" s="16">
        <v>39</v>
      </c>
      <c r="AU17" s="16">
        <f t="shared" si="142"/>
        <v>39</v>
      </c>
      <c r="AV17" s="16">
        <f t="shared" si="143"/>
        <v>39</v>
      </c>
      <c r="AW17" s="16">
        <v>24</v>
      </c>
      <c r="AX17" s="16">
        <v>23</v>
      </c>
      <c r="AY17" s="16">
        <f t="shared" si="144"/>
        <v>24</v>
      </c>
      <c r="AZ17" s="16">
        <f t="shared" si="145"/>
        <v>23</v>
      </c>
      <c r="BA17" s="16"/>
      <c r="BB17" s="16"/>
      <c r="BC17" s="16">
        <f t="shared" si="146"/>
        <v>0</v>
      </c>
      <c r="BD17" s="16">
        <f t="shared" ref="BD17" si="153">IF(BJ17+BK17+BA17+BB17&lt;120,BB17,120-BJ17-BK17-BC17)</f>
        <v>0</v>
      </c>
      <c r="BE17" s="16"/>
      <c r="BF17" s="16"/>
      <c r="BG17" s="16"/>
      <c r="BH17" s="16"/>
      <c r="BI17" s="16"/>
      <c r="BJ17" s="16">
        <f t="shared" si="147"/>
        <v>0</v>
      </c>
      <c r="BK17" s="16">
        <f t="shared" si="148"/>
        <v>0</v>
      </c>
      <c r="BL17" s="16">
        <f t="shared" si="149"/>
        <v>47</v>
      </c>
      <c r="BM17" s="16">
        <f t="shared" si="150"/>
        <v>47</v>
      </c>
      <c r="BN17" s="16">
        <f t="shared" si="151"/>
        <v>141</v>
      </c>
      <c r="BO17" s="21"/>
    </row>
    <row r="18" spans="1:67" s="19" customFormat="1" ht="15.75" x14ac:dyDescent="0.25">
      <c r="A18" s="27">
        <v>16</v>
      </c>
      <c r="B18" s="31" t="s">
        <v>67</v>
      </c>
      <c r="C18" s="28">
        <f t="shared" si="116"/>
        <v>375</v>
      </c>
      <c r="D18" s="18">
        <f t="shared" si="117"/>
        <v>375</v>
      </c>
      <c r="E18" s="18">
        <f t="shared" si="118"/>
        <v>123.75</v>
      </c>
      <c r="F18" s="18">
        <f t="shared" si="119"/>
        <v>581.35</v>
      </c>
      <c r="G18" s="18">
        <f t="shared" si="120"/>
        <v>581.35</v>
      </c>
      <c r="H18" s="20">
        <f t="shared" si="121"/>
        <v>191.84550000000002</v>
      </c>
      <c r="I18" s="26">
        <f t="shared" si="122"/>
        <v>315.59550000000002</v>
      </c>
      <c r="J18" s="16">
        <v>1</v>
      </c>
      <c r="K18" s="16">
        <f t="shared" si="123"/>
        <v>100</v>
      </c>
      <c r="L18" s="16"/>
      <c r="M18" s="16">
        <f t="shared" si="124"/>
        <v>0</v>
      </c>
      <c r="N18" s="16">
        <v>1</v>
      </c>
      <c r="O18" s="16">
        <f t="shared" si="125"/>
        <v>200</v>
      </c>
      <c r="P18" s="16"/>
      <c r="Q18" s="16">
        <f t="shared" si="126"/>
        <v>0</v>
      </c>
      <c r="R18" s="16"/>
      <c r="S18" s="16">
        <f t="shared" si="127"/>
        <v>0</v>
      </c>
      <c r="T18" s="16"/>
      <c r="U18" s="16">
        <f t="shared" si="128"/>
        <v>0</v>
      </c>
      <c r="V18" s="16">
        <f t="shared" si="129"/>
        <v>200</v>
      </c>
      <c r="W18" s="16"/>
      <c r="X18" s="16">
        <f t="shared" si="130"/>
        <v>0</v>
      </c>
      <c r="Y18" s="16"/>
      <c r="Z18" s="16">
        <f t="shared" si="131"/>
        <v>0</v>
      </c>
      <c r="AA18" s="16"/>
      <c r="AB18" s="16">
        <f t="shared" si="132"/>
        <v>0</v>
      </c>
      <c r="AC18" s="16"/>
      <c r="AD18" s="16">
        <f t="shared" si="133"/>
        <v>0</v>
      </c>
      <c r="AE18" s="16">
        <f t="shared" si="134"/>
        <v>0</v>
      </c>
      <c r="AF18" s="16">
        <v>3</v>
      </c>
      <c r="AG18" s="16">
        <f t="shared" si="135"/>
        <v>15</v>
      </c>
      <c r="AH18" s="16">
        <f t="shared" si="136"/>
        <v>15</v>
      </c>
      <c r="AI18" s="16">
        <v>1</v>
      </c>
      <c r="AJ18" s="16">
        <f t="shared" si="137"/>
        <v>50</v>
      </c>
      <c r="AK18" s="16"/>
      <c r="AL18" s="16">
        <f>AK18*30</f>
        <v>0</v>
      </c>
      <c r="AM18" s="16">
        <v>1</v>
      </c>
      <c r="AN18" s="16">
        <f t="shared" si="138"/>
        <v>10</v>
      </c>
      <c r="AO18" s="16">
        <f t="shared" si="139"/>
        <v>60</v>
      </c>
      <c r="AP18" s="16">
        <v>412</v>
      </c>
      <c r="AQ18" s="16">
        <f t="shared" si="140"/>
        <v>396</v>
      </c>
      <c r="AR18" s="16">
        <v>142</v>
      </c>
      <c r="AS18" s="16">
        <f t="shared" si="141"/>
        <v>213</v>
      </c>
      <c r="AT18" s="16"/>
      <c r="AU18" s="16">
        <f t="shared" si="142"/>
        <v>0</v>
      </c>
      <c r="AV18" s="16">
        <f t="shared" si="143"/>
        <v>0</v>
      </c>
      <c r="AW18" s="16"/>
      <c r="AX18" s="16">
        <v>108</v>
      </c>
      <c r="AY18" s="16">
        <f t="shared" si="144"/>
        <v>0</v>
      </c>
      <c r="AZ18" s="16">
        <f t="shared" si="145"/>
        <v>77</v>
      </c>
      <c r="BA18" s="16">
        <v>43</v>
      </c>
      <c r="BB18" s="16"/>
      <c r="BC18" s="16">
        <f t="shared" si="146"/>
        <v>43</v>
      </c>
      <c r="BD18" s="16">
        <f>IF(BJ18+BK18+BA18+BB18&lt;120,BB18,120-BJ18-BK18-BC18)</f>
        <v>0</v>
      </c>
      <c r="BE18" s="16"/>
      <c r="BF18" s="16"/>
      <c r="BG18" s="16"/>
      <c r="BH18" s="16"/>
      <c r="BI18" s="16"/>
      <c r="BJ18" s="16">
        <f t="shared" si="147"/>
        <v>0</v>
      </c>
      <c r="BK18" s="16">
        <f t="shared" si="148"/>
        <v>0</v>
      </c>
      <c r="BL18" s="16">
        <f t="shared" si="149"/>
        <v>151</v>
      </c>
      <c r="BM18" s="16">
        <f t="shared" si="150"/>
        <v>120</v>
      </c>
      <c r="BN18" s="16">
        <f t="shared" si="151"/>
        <v>368.35</v>
      </c>
      <c r="BO18" s="21"/>
    </row>
    <row r="19" spans="1:67" s="17" customFormat="1" ht="15.75" x14ac:dyDescent="0.25">
      <c r="A19" s="27">
        <v>17</v>
      </c>
      <c r="B19" s="31" t="s">
        <v>68</v>
      </c>
      <c r="C19" s="28">
        <f t="shared" ref="C19" si="154">IF((K19+M19+V19+X19+AE19+AH19+AO19)&gt;1000,1000,K19+M19+V19+X19+AE19+AH19+AO19)</f>
        <v>420</v>
      </c>
      <c r="D19" s="18">
        <f t="shared" ref="D19" si="155">IF(C19&gt;1000,1000,C19)</f>
        <v>420</v>
      </c>
      <c r="E19" s="18">
        <f t="shared" ref="E19" si="156">C19*33%</f>
        <v>138.6</v>
      </c>
      <c r="F19" s="18">
        <f t="shared" ref="F19" si="157">AS19+AU19+BN19</f>
        <v>516.79999999999995</v>
      </c>
      <c r="G19" s="18">
        <f t="shared" ref="G19" si="158">IF(F19&gt;1000,1000,F19)</f>
        <v>516.79999999999995</v>
      </c>
      <c r="H19" s="18">
        <f t="shared" ref="H19" si="159">G19*33%</f>
        <v>170.54399999999998</v>
      </c>
      <c r="I19" s="25">
        <f t="shared" ref="I19" si="160">E19+H19</f>
        <v>309.14400000000001</v>
      </c>
      <c r="J19" s="16">
        <v>1</v>
      </c>
      <c r="K19" s="16">
        <f t="shared" ref="K19" si="161">J19*100</f>
        <v>100</v>
      </c>
      <c r="L19" s="16"/>
      <c r="M19" s="16">
        <f t="shared" ref="M19" si="162">L19*30</f>
        <v>0</v>
      </c>
      <c r="N19" s="16">
        <v>1</v>
      </c>
      <c r="O19" s="16">
        <f t="shared" ref="O19" si="163">N19*200</f>
        <v>200</v>
      </c>
      <c r="P19" s="16"/>
      <c r="Q19" s="16">
        <f t="shared" ref="Q19" si="164">P19*70</f>
        <v>0</v>
      </c>
      <c r="R19" s="16"/>
      <c r="S19" s="16">
        <f t="shared" ref="S19" si="165">R19*150</f>
        <v>0</v>
      </c>
      <c r="T19" s="16">
        <v>1</v>
      </c>
      <c r="U19" s="16">
        <f t="shared" ref="U19" si="166">IF(T19&gt;0,50,T19)</f>
        <v>50</v>
      </c>
      <c r="V19" s="16">
        <f t="shared" ref="V19" si="167">IF((O19+Q19+S19+U19)&gt;250,250,O19+Q19+S19+U19)</f>
        <v>250</v>
      </c>
      <c r="W19" s="16"/>
      <c r="X19" s="16">
        <f t="shared" ref="X19" si="168">W19*275</f>
        <v>0</v>
      </c>
      <c r="Y19" s="16"/>
      <c r="Z19" s="16">
        <f t="shared" ref="Z19" si="169">Y19*350</f>
        <v>0</v>
      </c>
      <c r="AA19" s="16"/>
      <c r="AB19" s="16">
        <f t="shared" ref="AB19" si="170">AA19*100</f>
        <v>0</v>
      </c>
      <c r="AC19" s="16"/>
      <c r="AD19" s="16">
        <f t="shared" ref="AD19" si="171">IF(AC19&gt;0,70,AC19)</f>
        <v>0</v>
      </c>
      <c r="AE19" s="16">
        <f t="shared" ref="AE19" si="172">IF((Z19+AB19+AD19)&gt;420,420,Z19+AB19+AD19)</f>
        <v>0</v>
      </c>
      <c r="AF19" s="16">
        <v>7</v>
      </c>
      <c r="AG19" s="16">
        <f t="shared" ref="AG19" si="173">AF19*5</f>
        <v>35</v>
      </c>
      <c r="AH19" s="16">
        <f t="shared" ref="AH19" si="174">IF(AG19&gt;20,20,AG19)</f>
        <v>20</v>
      </c>
      <c r="AI19" s="16">
        <v>1</v>
      </c>
      <c r="AJ19" s="16">
        <f t="shared" ref="AJ19" si="175">AI19*50</f>
        <v>50</v>
      </c>
      <c r="AK19" s="16"/>
      <c r="AL19" s="16">
        <f>AK19*30</f>
        <v>0</v>
      </c>
      <c r="AM19" s="16"/>
      <c r="AN19" s="16">
        <f t="shared" si="138"/>
        <v>0</v>
      </c>
      <c r="AO19" s="16">
        <f t="shared" ref="AO19" si="176">IF((AJ19+AL19+AN19)&gt;100,100,AJ19+AL19+AN19)</f>
        <v>50</v>
      </c>
      <c r="AP19" s="16">
        <v>248</v>
      </c>
      <c r="AQ19" s="16">
        <f t="shared" ref="AQ19" si="177">IF(AP19&gt;396,396,AP19)</f>
        <v>248</v>
      </c>
      <c r="AR19" s="16">
        <f t="shared" ref="AR19" si="178">AQ19-BM19</f>
        <v>189</v>
      </c>
      <c r="AS19" s="16">
        <f t="shared" ref="AS19" si="179">AR19*1.5</f>
        <v>283.5</v>
      </c>
      <c r="AT19" s="16"/>
      <c r="AU19" s="16">
        <f t="shared" ref="AU19" si="180">AT19*1</f>
        <v>0</v>
      </c>
      <c r="AV19" s="16">
        <f t="shared" ref="AV19" si="181">IF(AU19&gt;84,84,AU19)</f>
        <v>0</v>
      </c>
      <c r="AW19" s="16"/>
      <c r="AX19" s="16">
        <v>27</v>
      </c>
      <c r="AY19" s="16">
        <f t="shared" ref="AY19" si="182">IF(BJ19+BK19+BC19+BD19+AW19&lt;120,AW19,120-BJ19-BK19-BC19-BD19)</f>
        <v>0</v>
      </c>
      <c r="AZ19" s="16">
        <f t="shared" ref="AZ19" si="183">IF(BJ19+BK19+BC19+BD19+AY19+AX19&lt;120,AX19,120-BJ19-BK19-BC19-BD19-AY19)</f>
        <v>27</v>
      </c>
      <c r="BA19" s="16"/>
      <c r="BB19" s="16"/>
      <c r="BC19" s="16">
        <f t="shared" si="146"/>
        <v>0</v>
      </c>
      <c r="BD19" s="16">
        <f t="shared" ref="BD19" si="184">IF(BJ19+BK19+BA19+BB19&lt;120,BB19,120-BJ19-BK19-BC19)</f>
        <v>0</v>
      </c>
      <c r="BE19" s="16">
        <v>18</v>
      </c>
      <c r="BF19" s="16">
        <v>14</v>
      </c>
      <c r="BG19" s="16"/>
      <c r="BH19" s="16">
        <f t="shared" ref="BH19" si="185">IF(BG19&gt;84,84,BG19)</f>
        <v>0</v>
      </c>
      <c r="BI19" s="16"/>
      <c r="BJ19" s="16">
        <f t="shared" ref="BJ19" si="186">IF(BE19&lt;120,BE19,120)</f>
        <v>18</v>
      </c>
      <c r="BK19" s="16">
        <f t="shared" ref="BK19" si="187">IF(BE19+BF19&lt;120,BF19,120-BE19-BF19)</f>
        <v>14</v>
      </c>
      <c r="BL19" s="16">
        <f t="shared" ref="BL19" si="188">AW19+AX19+BA19+BB19+BE19+BF19</f>
        <v>59</v>
      </c>
      <c r="BM19" s="16">
        <f t="shared" ref="BM19" si="189">IF(BL19&gt;120,120,BL19)</f>
        <v>59</v>
      </c>
      <c r="BN19" s="16">
        <f t="shared" ref="BN19" si="190">IF(AX19+BB19+BF19&lt;BL19/2,(BJ19+BK19)*5.5+(BC19+BD19)*4+(AY19+AZ19)*3,BJ19*5.5+BK19*5.5*0.85+BC19*4+BD19*4*0.85+AY19*3+AZ19*3*0.85)</f>
        <v>233.29999999999998</v>
      </c>
      <c r="BO19" s="19"/>
    </row>
    <row r="20" spans="1:67" s="17" customFormat="1" ht="15.75" x14ac:dyDescent="0.25">
      <c r="A20" s="27">
        <v>18</v>
      </c>
      <c r="B20" s="31" t="s">
        <v>69</v>
      </c>
      <c r="C20" s="28">
        <f>IF((K20+M20+V20+X20+AE20+AH20+AO20)&gt;1000,1000,K20+M20+V20+X20+AE20+AH20+AO20)</f>
        <v>200</v>
      </c>
      <c r="D20" s="18">
        <f>IF(C20&gt;1000,1000,C20)</f>
        <v>200</v>
      </c>
      <c r="E20" s="18">
        <f>C20*33%</f>
        <v>66</v>
      </c>
      <c r="F20" s="18">
        <f>AS20+AU20+BN20</f>
        <v>690</v>
      </c>
      <c r="G20" s="18">
        <f>IF(F20&gt;1000,1000,F20)</f>
        <v>690</v>
      </c>
      <c r="H20" s="18">
        <f>G20*33%</f>
        <v>227.70000000000002</v>
      </c>
      <c r="I20" s="25">
        <f>E20+H20</f>
        <v>293.70000000000005</v>
      </c>
      <c r="J20" s="16">
        <v>1</v>
      </c>
      <c r="K20" s="16">
        <f>J20*100</f>
        <v>100</v>
      </c>
      <c r="L20" s="16"/>
      <c r="M20" s="16">
        <f>L20*30</f>
        <v>0</v>
      </c>
      <c r="N20" s="16"/>
      <c r="O20" s="16">
        <f>N20*200</f>
        <v>0</v>
      </c>
      <c r="P20" s="16">
        <v>1</v>
      </c>
      <c r="Q20" s="16">
        <f>P20*70</f>
        <v>70</v>
      </c>
      <c r="R20" s="16"/>
      <c r="S20" s="16">
        <f>R20*150</f>
        <v>0</v>
      </c>
      <c r="T20" s="16"/>
      <c r="U20" s="16">
        <f>IF(T20&gt;0,50,T20)</f>
        <v>0</v>
      </c>
      <c r="V20" s="16">
        <f>IF((O20+Q20+S20+U20)&gt;250,250,O20+Q20+S20+U20)</f>
        <v>70</v>
      </c>
      <c r="W20" s="16"/>
      <c r="X20" s="16">
        <f>W20*275</f>
        <v>0</v>
      </c>
      <c r="Y20" s="16"/>
      <c r="Z20" s="16">
        <f>Y20*350</f>
        <v>0</v>
      </c>
      <c r="AA20" s="16"/>
      <c r="AB20" s="16">
        <f>AA20*100</f>
        <v>0</v>
      </c>
      <c r="AC20" s="16"/>
      <c r="AD20" s="16">
        <f>IF(AC20&gt;0,70,AC20)</f>
        <v>0</v>
      </c>
      <c r="AE20" s="16">
        <f>IF((Z20+AB20+AD20)&gt;420,420,Z20+AB20+AD20)</f>
        <v>0</v>
      </c>
      <c r="AF20" s="16">
        <v>13</v>
      </c>
      <c r="AG20" s="16">
        <f>AF20*5</f>
        <v>65</v>
      </c>
      <c r="AH20" s="16">
        <f>IF(AG20&gt;20,20,AG20)</f>
        <v>20</v>
      </c>
      <c r="AI20" s="16"/>
      <c r="AJ20" s="16">
        <f>AI20*50</f>
        <v>0</v>
      </c>
      <c r="AK20" s="16"/>
      <c r="AL20" s="16"/>
      <c r="AM20" s="16">
        <v>1</v>
      </c>
      <c r="AN20" s="16">
        <f>AM20*10</f>
        <v>10</v>
      </c>
      <c r="AO20" s="16">
        <f>IF((AJ20+AL20+AN20)&gt;100,100,AJ20+AL20+AN20)</f>
        <v>10</v>
      </c>
      <c r="AP20" s="16">
        <v>461</v>
      </c>
      <c r="AQ20" s="16">
        <f>IF(AP20&gt;396,396,AP20)</f>
        <v>396</v>
      </c>
      <c r="AR20" s="16">
        <v>140</v>
      </c>
      <c r="AS20" s="16">
        <f>AR20*1.5</f>
        <v>210</v>
      </c>
      <c r="AT20" s="16"/>
      <c r="AU20" s="16">
        <f>AT20*1</f>
        <v>0</v>
      </c>
      <c r="AV20" s="16">
        <f>IF(AU20&gt;84,84,AU20)</f>
        <v>0</v>
      </c>
      <c r="AW20" s="16">
        <v>30</v>
      </c>
      <c r="AX20" s="16"/>
      <c r="AY20" s="16">
        <f>IF(BJ20+BK20+BC20+BD20+AW20&lt;120,AW20,120-BJ20-BK20-BC20-BD20)</f>
        <v>0</v>
      </c>
      <c r="AZ20" s="16">
        <f>IF(BJ20+BK20+BC20+BD20+AY20+AX20&lt;120,AX20,120-BJ20-BK20-BC20-BD20-AY20)</f>
        <v>0</v>
      </c>
      <c r="BA20" s="16">
        <v>211</v>
      </c>
      <c r="BB20" s="16">
        <v>17</v>
      </c>
      <c r="BC20" s="16">
        <f>IF(BJ20+BK20+BA20&lt;120,BA20,120-BJ20-BK20)</f>
        <v>120</v>
      </c>
      <c r="BD20" s="16">
        <f>IF(BJ20+BK20+BA20+BB20&lt;120,BB20,120-BJ20-BK20-BC20)</f>
        <v>0</v>
      </c>
      <c r="BE20" s="16"/>
      <c r="BF20" s="16">
        <f>IF(BE20&gt;84,84,BE20)</f>
        <v>0</v>
      </c>
      <c r="BG20" s="16"/>
      <c r="BH20" s="16">
        <f>IF(BG20&gt;84,84,BG20)</f>
        <v>0</v>
      </c>
      <c r="BI20" s="16"/>
      <c r="BJ20" s="16">
        <f>IF(BE20&lt;120,BE20,120)</f>
        <v>0</v>
      </c>
      <c r="BK20" s="16">
        <f>IF(BE20+BF20&lt;120,BF20,120-BE20-BF20)</f>
        <v>0</v>
      </c>
      <c r="BL20" s="16">
        <f>AW20+AX20+BA20+BB20+BE20+BF20</f>
        <v>258</v>
      </c>
      <c r="BM20" s="16">
        <f>IF(BL20&gt;120,120,BL20)</f>
        <v>120</v>
      </c>
      <c r="BN20" s="16">
        <f>IF(AX20+BB20+BF20&lt;BL20/2,(BJ20+BK20)*5.5+(BC20+BD20)*4+(AY20+AZ20)*3,BJ20*5.5+BK20*5.5*0.85+BC20*4+BD20*4*0.85+AY20*3+AZ20*3*0.85)</f>
        <v>480</v>
      </c>
      <c r="BO20" s="19"/>
    </row>
    <row r="21" spans="1:67" s="17" customFormat="1" ht="15.75" x14ac:dyDescent="0.25">
      <c r="A21" s="27">
        <v>19</v>
      </c>
      <c r="B21" s="31" t="s">
        <v>70</v>
      </c>
      <c r="C21" s="28">
        <f>IF((K21+M21+V21+X21+AE21+AH21+AO21)&gt;1000,1000,K21+M21+V21+X21+AE21+AH21+AO21)</f>
        <v>270</v>
      </c>
      <c r="D21" s="18">
        <f>IF(C21&gt;1000,1000,C21)</f>
        <v>270</v>
      </c>
      <c r="E21" s="18">
        <f>C21*33%</f>
        <v>89.100000000000009</v>
      </c>
      <c r="F21" s="18">
        <f>AS21+AU21+BN21</f>
        <v>618.5</v>
      </c>
      <c r="G21" s="18">
        <f>IF(F21&gt;1000,1000,F21)</f>
        <v>618.5</v>
      </c>
      <c r="H21" s="18">
        <f>G21*33%</f>
        <v>204.10500000000002</v>
      </c>
      <c r="I21" s="25">
        <f>E21+H21</f>
        <v>293.20500000000004</v>
      </c>
      <c r="J21" s="16">
        <v>1</v>
      </c>
      <c r="K21" s="16">
        <f>J21*100</f>
        <v>100</v>
      </c>
      <c r="L21" s="16">
        <v>1</v>
      </c>
      <c r="M21" s="16">
        <f>L21*30</f>
        <v>30</v>
      </c>
      <c r="N21" s="16"/>
      <c r="O21" s="16">
        <f>N21*200</f>
        <v>0</v>
      </c>
      <c r="P21" s="16">
        <v>1</v>
      </c>
      <c r="Q21" s="16">
        <f>P21*70</f>
        <v>70</v>
      </c>
      <c r="R21" s="16"/>
      <c r="S21" s="16">
        <f>R21*150</f>
        <v>0</v>
      </c>
      <c r="T21" s="16"/>
      <c r="U21" s="16">
        <f>IF(T21&gt;0,50,T21)</f>
        <v>0</v>
      </c>
      <c r="V21" s="16">
        <f>IF((O21+Q21+S21+U21)&gt;250,250,O21+Q21+S21+U21)</f>
        <v>70</v>
      </c>
      <c r="W21" s="16"/>
      <c r="X21" s="16">
        <f>W21*275</f>
        <v>0</v>
      </c>
      <c r="Y21" s="16"/>
      <c r="Z21" s="16">
        <f>Y21*350</f>
        <v>0</v>
      </c>
      <c r="AA21" s="16"/>
      <c r="AB21" s="16">
        <f>AA21*100</f>
        <v>0</v>
      </c>
      <c r="AC21" s="16"/>
      <c r="AD21" s="16">
        <f>IF(AC21&gt;0,70,AC21)</f>
        <v>0</v>
      </c>
      <c r="AE21" s="16">
        <f>IF((Z21+AB21+AD21)&gt;420,420,Z21+AB21+AD21)</f>
        <v>0</v>
      </c>
      <c r="AF21" s="16">
        <v>16</v>
      </c>
      <c r="AG21" s="16">
        <f>AF21*5</f>
        <v>80</v>
      </c>
      <c r="AH21" s="16">
        <f>IF(AG21&gt;20,20,AG21)</f>
        <v>20</v>
      </c>
      <c r="AI21" s="16">
        <v>1</v>
      </c>
      <c r="AJ21" s="16">
        <f>AI21*50</f>
        <v>50</v>
      </c>
      <c r="AK21" s="16"/>
      <c r="AL21" s="16">
        <f>AK21*30</f>
        <v>0</v>
      </c>
      <c r="AM21" s="16"/>
      <c r="AN21" s="16">
        <f>AM21*10</f>
        <v>0</v>
      </c>
      <c r="AO21" s="16">
        <f>IF((AJ21+AL21+AN21)&gt;100,100,AJ21+AL21+AN21)</f>
        <v>50</v>
      </c>
      <c r="AP21" s="16">
        <v>352</v>
      </c>
      <c r="AQ21" s="16">
        <f>IF(AP21&gt;396,396,AP21)</f>
        <v>352</v>
      </c>
      <c r="AR21" s="16">
        <f>AQ21-BM21</f>
        <v>299</v>
      </c>
      <c r="AS21" s="16">
        <f>AR21*1.5</f>
        <v>448.5</v>
      </c>
      <c r="AT21" s="16"/>
      <c r="AU21" s="16">
        <f>AT21*1</f>
        <v>0</v>
      </c>
      <c r="AV21" s="16">
        <f>IF(AU21&gt;84,84,AU21)</f>
        <v>0</v>
      </c>
      <c r="AW21" s="16">
        <v>42</v>
      </c>
      <c r="AX21" s="16"/>
      <c r="AY21" s="16">
        <f>IF(BJ21+BK21+BC21+BD21+AW21&lt;120,AW21,120-BJ21-BK21-BC21-BD21)</f>
        <v>42</v>
      </c>
      <c r="AZ21" s="16">
        <f>IF(BJ21+BK21+BC21+BD21+AY21+AX21&lt;120,AX21,120-BJ21-BK21-BC21-BD21-AY21)</f>
        <v>0</v>
      </c>
      <c r="BA21" s="16">
        <v>11</v>
      </c>
      <c r="BB21" s="16"/>
      <c r="BC21" s="16">
        <f>IF(BJ21+BK21+BA21&lt;120,BA21,120-BJ21-BK21)</f>
        <v>11</v>
      </c>
      <c r="BD21" s="16">
        <f>IF(BJ21+BK21+BA21+BB21&lt;120,BB21,120-BJ21-BK21-BC21)</f>
        <v>0</v>
      </c>
      <c r="BE21" s="16"/>
      <c r="BF21" s="16"/>
      <c r="BG21" s="16">
        <v>0</v>
      </c>
      <c r="BH21" s="16">
        <f>IF(BG21&gt;84,84,BG21)</f>
        <v>0</v>
      </c>
      <c r="BI21" s="16"/>
      <c r="BJ21" s="16">
        <f>IF(BE21&lt;120,BE21,120)</f>
        <v>0</v>
      </c>
      <c r="BK21" s="16">
        <f>IF(BE21+BF21&lt;120,BF21,120-BE21-BF21)</f>
        <v>0</v>
      </c>
      <c r="BL21" s="16">
        <f>AW21+AX21+BA21+BB21+BE21+BF21</f>
        <v>53</v>
      </c>
      <c r="BM21" s="16">
        <f>IF(BL21&gt;120,120,BL21)</f>
        <v>53</v>
      </c>
      <c r="BN21" s="16">
        <f>IF(AX21+BB21+BF21&lt;BL21/2,(BJ21+BK21)*5.5+(BC21+BD21)*4+(AY21+AZ21)*3,BJ21*5.5+BK21*5.5*0.85+BC21*4+BD21*4*0.85+AY21*3+AZ21*3*0.85)</f>
        <v>170</v>
      </c>
      <c r="BO21" s="19"/>
    </row>
    <row r="22" spans="1:67" s="19" customFormat="1" ht="15.75" x14ac:dyDescent="0.25">
      <c r="A22" s="27">
        <v>20</v>
      </c>
      <c r="B22" s="31" t="s">
        <v>71</v>
      </c>
      <c r="C22" s="28">
        <f>IF((K22+M22+V22+X22+AE22+AH22+AO22)&gt;1000,1000,K22+M22+V22+X22+AE22+AH22+AO22)</f>
        <v>200</v>
      </c>
      <c r="D22" s="18">
        <f>IF(C22&gt;1000,1000,C22)</f>
        <v>200</v>
      </c>
      <c r="E22" s="18">
        <f>C22*33%</f>
        <v>66</v>
      </c>
      <c r="F22" s="18">
        <f>AS22+AU22+BN22</f>
        <v>663</v>
      </c>
      <c r="G22" s="18">
        <f>IF(F22&gt;1000,1000,F22)</f>
        <v>663</v>
      </c>
      <c r="H22" s="20">
        <f>G22*33%</f>
        <v>218.79000000000002</v>
      </c>
      <c r="I22" s="26">
        <f>E22+H22</f>
        <v>284.79000000000002</v>
      </c>
      <c r="J22" s="16">
        <v>1</v>
      </c>
      <c r="K22" s="16">
        <f>J22*100</f>
        <v>100</v>
      </c>
      <c r="L22" s="16">
        <v>1</v>
      </c>
      <c r="M22" s="16">
        <f>L22*30</f>
        <v>30</v>
      </c>
      <c r="N22" s="16"/>
      <c r="O22" s="16">
        <f>N22*200</f>
        <v>0</v>
      </c>
      <c r="P22" s="16"/>
      <c r="Q22" s="16">
        <f>P22*70</f>
        <v>0</v>
      </c>
      <c r="R22" s="16"/>
      <c r="S22" s="16">
        <f>R22*150</f>
        <v>0</v>
      </c>
      <c r="T22" s="16"/>
      <c r="U22" s="16">
        <f>IF(T22&gt;0,50,T22)</f>
        <v>0</v>
      </c>
      <c r="V22" s="16">
        <f>IF((O22+Q22+S22+U22)&gt;250,250,O22+Q22+S22+U22)</f>
        <v>0</v>
      </c>
      <c r="W22" s="16"/>
      <c r="X22" s="16">
        <f>W22*275</f>
        <v>0</v>
      </c>
      <c r="Y22" s="16"/>
      <c r="Z22" s="16">
        <f>Y22*350</f>
        <v>0</v>
      </c>
      <c r="AA22" s="16"/>
      <c r="AB22" s="16">
        <f>AA22*100</f>
        <v>0</v>
      </c>
      <c r="AC22" s="16"/>
      <c r="AD22" s="16">
        <f>IF(AC22&gt;0,70,AC22)</f>
        <v>0</v>
      </c>
      <c r="AE22" s="16">
        <f>IF((Z22+AB22+AD22)&gt;420,420,Z22+AB22+AD22)</f>
        <v>0</v>
      </c>
      <c r="AF22" s="16">
        <v>4</v>
      </c>
      <c r="AG22" s="16">
        <f>AF22*5</f>
        <v>20</v>
      </c>
      <c r="AH22" s="16">
        <f>IF(AG22&gt;20,20,AG22)</f>
        <v>20</v>
      </c>
      <c r="AI22" s="16">
        <v>1</v>
      </c>
      <c r="AJ22" s="16">
        <f>AI22*50</f>
        <v>50</v>
      </c>
      <c r="AK22" s="16"/>
      <c r="AL22" s="16">
        <f>AK22*30</f>
        <v>0</v>
      </c>
      <c r="AM22" s="16"/>
      <c r="AN22" s="16">
        <f>AM22*10</f>
        <v>0</v>
      </c>
      <c r="AO22" s="16">
        <f>IF((AJ22+AL22+AN22)&gt;100,100,AJ22+AL22+AN22)</f>
        <v>50</v>
      </c>
      <c r="AP22" s="16">
        <v>325</v>
      </c>
      <c r="AQ22" s="16">
        <f>IF(AP22&gt;396,396,AP22)</f>
        <v>325</v>
      </c>
      <c r="AR22" s="16">
        <v>142</v>
      </c>
      <c r="AS22" s="16">
        <f>AR22*1.5</f>
        <v>213</v>
      </c>
      <c r="AT22" s="16"/>
      <c r="AU22" s="16">
        <f>AT22*1</f>
        <v>0</v>
      </c>
      <c r="AV22" s="16">
        <f>IF(AU22&gt;84,84,AU22)</f>
        <v>0</v>
      </c>
      <c r="AW22" s="16"/>
      <c r="AX22" s="16"/>
      <c r="AY22" s="16">
        <f>IF(BJ22+BK22+BC22+BD22+AW22&lt;120,AW22,120-BJ22-BK22-BC22-BD22)</f>
        <v>0</v>
      </c>
      <c r="AZ22" s="16">
        <f>IF(BJ22+BK22+BC22+BD22+AY22+AX22&lt;120,AX22,120-BJ22-BK22-BC22-BD22-AY22)</f>
        <v>0</v>
      </c>
      <c r="BA22" s="16">
        <v>30</v>
      </c>
      <c r="BB22" s="16"/>
      <c r="BC22" s="16">
        <f>IF(BJ22+BK22+BA22&lt;120,BA22,120-BJ22-BK22)</f>
        <v>30</v>
      </c>
      <c r="BD22" s="16">
        <f>IF(BJ22+BK22+BA22+BB22&lt;120,BB22,120-BJ22-BK22-BC22)</f>
        <v>0</v>
      </c>
      <c r="BE22" s="16">
        <v>60</v>
      </c>
      <c r="BF22" s="16"/>
      <c r="BG22" s="16"/>
      <c r="BH22" s="16"/>
      <c r="BI22" s="16"/>
      <c r="BJ22" s="16">
        <f>IF(BE22&lt;120,BE22,120)</f>
        <v>60</v>
      </c>
      <c r="BK22" s="16">
        <f>IF(BE22+BF22&lt;120,BF22,120-BE22-BF22)</f>
        <v>0</v>
      </c>
      <c r="BL22" s="16">
        <f>AW22+AX22+BA22+BB22+BE22+BF22</f>
        <v>90</v>
      </c>
      <c r="BM22" s="16">
        <f>IF(BL22&gt;120,120,BL22)</f>
        <v>90</v>
      </c>
      <c r="BN22" s="16">
        <f>IF(AX22+BB22+BF22&lt;BL22/2,(BJ22+BK22)*5.5+(BC22+BD22)*4+(AY22+AZ22)*3,BJ22*5.5+BK22*5.5*0.85+BC22*4+BD22*4*0.85+AY22*3+AZ22*3*0.85)</f>
        <v>450</v>
      </c>
      <c r="BO22" s="21"/>
    </row>
    <row r="23" spans="1:67" s="17" customFormat="1" ht="15.75" x14ac:dyDescent="0.25">
      <c r="A23" s="27">
        <v>21</v>
      </c>
      <c r="B23" s="31" t="s">
        <v>72</v>
      </c>
      <c r="C23" s="28">
        <f>IF((K23+M23+V23+X23+AE23+AH23+AO23)&gt;1000,1000,K23+M23+V23+X23+AE23+AH23+AO23)</f>
        <v>290</v>
      </c>
      <c r="D23" s="18">
        <f>IF(C23&gt;1000,1000,C23)</f>
        <v>290</v>
      </c>
      <c r="E23" s="18">
        <f>C23*33%</f>
        <v>95.7</v>
      </c>
      <c r="F23" s="18">
        <f>AS23+AU23+BN23</f>
        <v>475.5</v>
      </c>
      <c r="G23" s="18">
        <f>IF(F23&gt;1000,1000,F23)</f>
        <v>475.5</v>
      </c>
      <c r="H23" s="18">
        <f>G23*33%</f>
        <v>156.91500000000002</v>
      </c>
      <c r="I23" s="25">
        <f>E23+H23</f>
        <v>252.61500000000001</v>
      </c>
      <c r="J23" s="16">
        <v>1</v>
      </c>
      <c r="K23" s="16">
        <f>J23*100</f>
        <v>100</v>
      </c>
      <c r="L23" s="16"/>
      <c r="M23" s="16">
        <f>L23*30</f>
        <v>0</v>
      </c>
      <c r="N23" s="16"/>
      <c r="O23" s="16">
        <f>N23*200</f>
        <v>0</v>
      </c>
      <c r="P23" s="16">
        <v>1</v>
      </c>
      <c r="Q23" s="16">
        <f>P23*70</f>
        <v>70</v>
      </c>
      <c r="R23" s="16"/>
      <c r="S23" s="16">
        <f>R23*150</f>
        <v>0</v>
      </c>
      <c r="T23" s="16"/>
      <c r="U23" s="16">
        <f>IF(T23&gt;0,50,T23)</f>
        <v>0</v>
      </c>
      <c r="V23" s="16">
        <f>IF((O23+Q23+S23+U23)&gt;250,250,O23+Q23+S23+U23)</f>
        <v>70</v>
      </c>
      <c r="W23" s="16"/>
      <c r="X23" s="16">
        <f>W23*275</f>
        <v>0</v>
      </c>
      <c r="Y23" s="16"/>
      <c r="Z23" s="16">
        <f>Y23*350</f>
        <v>0</v>
      </c>
      <c r="AA23" s="16"/>
      <c r="AB23" s="16">
        <f>AA23*100</f>
        <v>0</v>
      </c>
      <c r="AC23" s="16"/>
      <c r="AD23" s="16">
        <f>IF(AC23&gt;0,70,AC23)</f>
        <v>0</v>
      </c>
      <c r="AE23" s="16">
        <f>IF((Z23+AB23+AD23)&gt;420,420,Z23+AB23+AD23)</f>
        <v>0</v>
      </c>
      <c r="AF23" s="16">
        <v>9</v>
      </c>
      <c r="AG23" s="16">
        <f>AF23*5</f>
        <v>45</v>
      </c>
      <c r="AH23" s="16">
        <f>IF(AG23&gt;20,20,AG23)</f>
        <v>20</v>
      </c>
      <c r="AI23" s="16">
        <v>2</v>
      </c>
      <c r="AJ23" s="16">
        <f>AI23*50</f>
        <v>100</v>
      </c>
      <c r="AK23" s="16"/>
      <c r="AL23" s="16">
        <f t="shared" ref="AL23" si="191">AK23*30</f>
        <v>0</v>
      </c>
      <c r="AM23" s="16"/>
      <c r="AN23" s="16">
        <f t="shared" ref="AN23" si="192">AM23*10</f>
        <v>0</v>
      </c>
      <c r="AO23" s="16">
        <f>IF((AJ23+AL23+AN23)&gt;100,100,AJ23+AL23+AN23)</f>
        <v>100</v>
      </c>
      <c r="AP23" s="16">
        <v>246</v>
      </c>
      <c r="AQ23" s="16">
        <f>IF(AP23&gt;396,396,AP23)</f>
        <v>246</v>
      </c>
      <c r="AR23" s="16">
        <f>AQ23-BM23</f>
        <v>175</v>
      </c>
      <c r="AS23" s="16">
        <f>AR23*1.5</f>
        <v>262.5</v>
      </c>
      <c r="AT23" s="16"/>
      <c r="AU23" s="16">
        <f>AT23*1</f>
        <v>0</v>
      </c>
      <c r="AV23" s="16">
        <f>IF(AU23&gt;84,84,AU23)</f>
        <v>0</v>
      </c>
      <c r="AW23" s="16">
        <v>71</v>
      </c>
      <c r="AX23" s="16"/>
      <c r="AY23" s="16">
        <f>IF(BJ23+BK23+BC23+BD23+AW23&lt;120,AW23,120-BJ23-BK23-BC23-BD23)</f>
        <v>71</v>
      </c>
      <c r="AZ23" s="16">
        <f>IF(BJ23+BK23+BC23+BD23+AY23+AX23&lt;120,AX23,120-BJ23-BK23-BC23-BD23-AY23)</f>
        <v>0</v>
      </c>
      <c r="BA23" s="16"/>
      <c r="BB23" s="16"/>
      <c r="BC23" s="16">
        <f t="shared" ref="BC23" si="193">IF(BJ23+BK23+BA23&lt;120,BA23,120-BJ23-BK23)</f>
        <v>0</v>
      </c>
      <c r="BD23" s="16">
        <f>IF(BJ23+BK23+BA23+BB23&lt;120,BB23,120-BJ23-BK23-BC23)</f>
        <v>0</v>
      </c>
      <c r="BE23" s="16"/>
      <c r="BF23" s="16"/>
      <c r="BG23" s="16"/>
      <c r="BH23" s="16">
        <f>IF(BG23&gt;84,84,BG23)</f>
        <v>0</v>
      </c>
      <c r="BI23" s="16"/>
      <c r="BJ23" s="16">
        <f>IF(BE23&lt;120,BE23,120)</f>
        <v>0</v>
      </c>
      <c r="BK23" s="16">
        <f>IF(BE23+BF23&lt;120,BF23,120-BE23-BF23)</f>
        <v>0</v>
      </c>
      <c r="BL23" s="16">
        <f>AW23+AX23+BA23+BB23+BE23+BF23</f>
        <v>71</v>
      </c>
      <c r="BM23" s="16">
        <f>IF(BL23&gt;120,120,BL23)</f>
        <v>71</v>
      </c>
      <c r="BN23" s="16">
        <f>IF(AX23+BB23+BF23&lt;BL23/2,(BJ23+BK23)*5.5+(BC23+BD23)*4+(AY23+AZ23)*3,BJ23*5.5+BK23*5.5*0.85+BC23*4+BD23*4*0.85+AY23*3+AZ23*3*0.85)</f>
        <v>213</v>
      </c>
      <c r="BO23" s="19"/>
    </row>
    <row r="24" spans="1:67" s="4" customFormat="1" x14ac:dyDescent="0.25">
      <c r="B24" s="23"/>
    </row>
    <row r="25" spans="1:67" s="4" customFormat="1" x14ac:dyDescent="0.25">
      <c r="B25" s="23"/>
    </row>
    <row r="26" spans="1:67" s="4" customFormat="1" x14ac:dyDescent="0.25">
      <c r="B26" s="23"/>
    </row>
  </sheetData>
  <sheetProtection algorithmName="SHA-512" hashValue="i5k7uE6FZICOgDUkg+DHG6+ZgW3EzWKbmz/KEWfDRFguN6vJ4SfmH0LrNRxqfFwieVvW4/zwPqL+sHtEDZyYaQ==" saltValue="Pde0Qiv+OEPtP+ne8LV8jA==" spinCount="100000" sheet="1" formatCells="0" formatColumns="0" formatRows="0" insertColumns="0" insertRows="0" insertHyperlinks="0" deleteColumns="0" deleteRows="0" sort="0" autoFilter="0" pivotTables="0"/>
  <mergeCells count="16">
    <mergeCell ref="A1:I1"/>
    <mergeCell ref="T2:U2"/>
    <mergeCell ref="J2:K2"/>
    <mergeCell ref="L2:M2"/>
    <mergeCell ref="N2:O2"/>
    <mergeCell ref="P2:Q2"/>
    <mergeCell ref="R2:S2"/>
    <mergeCell ref="AK2:AL2"/>
    <mergeCell ref="AM2:AN2"/>
    <mergeCell ref="AT2:AU2"/>
    <mergeCell ref="W2:X2"/>
    <mergeCell ref="Y2:Z2"/>
    <mergeCell ref="AA2:AB2"/>
    <mergeCell ref="AC2:AD2"/>
    <mergeCell ref="AF2:AG2"/>
    <mergeCell ref="AI2:AJ2"/>
  </mergeCell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 ΓΕΝ.ΔΙΕΥΘΥΝΣΗ ΔΙΟΙΚ.ΥΠΗΡΕΣΙΩΝ </vt:lpstr>
      <vt:lpstr>' ΓΕΝ.ΔΙΕΥΘΥΝΣΗ ΔΙΟΙΚ.ΥΠΗΡΕΣΙΩΝ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DIDAD_user15</dc:creator>
  <cp:lastModifiedBy>ΜΑΡΟΥΛΑ ΨΑΛΤΗ</cp:lastModifiedBy>
  <cp:lastPrinted>2024-11-26T14:56:16Z</cp:lastPrinted>
  <dcterms:created xsi:type="dcterms:W3CDTF">2018-03-21T16:26:00Z</dcterms:created>
  <dcterms:modified xsi:type="dcterms:W3CDTF">2024-11-29T07:22:30Z</dcterms:modified>
</cp:coreProperties>
</file>